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HAN\Downloads\"/>
    </mc:Choice>
  </mc:AlternateContent>
  <bookViews>
    <workbookView xWindow="0" yWindow="0" windowWidth="28800" windowHeight="11760" firstSheet="1" activeTab="1"/>
  </bookViews>
  <sheets>
    <sheet name="yıllık (2)" sheetId="3" state="hidden" r:id="rId1"/>
    <sheet name="akademik" sheetId="4" r:id="rId2"/>
    <sheet name="Takvim" sheetId="5" r:id="rId3"/>
  </sheets>
  <externalReferences>
    <externalReference r:id="rId4"/>
  </externalReferences>
  <definedNames>
    <definedName name="AğuPaz1" localSheetId="2">DATE(Takvim!Yıl,8,1)-WEEKDAY(DATE(Takvim!Yıl,8,1),2)+1</definedName>
    <definedName name="AğuPaz1">DATE(Yıl,8,1)-WEEKDAY(DATE(Yıl,8,1),2)+1</definedName>
    <definedName name="AraPaz1" localSheetId="2">DATE(Takvim!Yıl,12,1)-WEEKDAY(DATE(Takvim!Yıl,12,1),2)+1</definedName>
    <definedName name="AraPaz1">DATE(Yıl,12,1)-WEEKDAY(DATE(Yıl,12,1),2)+1</definedName>
    <definedName name="EkiPaz1" localSheetId="2">DATE(Takvim!Yıl,10,1)-WEEKDAY(DATE(Takvim!Yıl,10,1),2)+1</definedName>
    <definedName name="EkiPaz1">DATE(Yıl,10,1)-WEEKDAY(DATE(Yıl,10,1),2)+1</definedName>
    <definedName name="EylPaz1" localSheetId="2">DATE(Takvim!Yıl,9,1)-WEEKDAY(DATE(Takvim!Yıl,9,1),2)+1</definedName>
    <definedName name="EylPaz1">DATE(Yıl,9,1)-WEEKDAY(DATE(Yıl,9,1),2)+1</definedName>
    <definedName name="HazPaz1" localSheetId="2">DATE(Takvim!Yıl,6,1)-WEEKDAY(DATE(Takvim!Yıl,6,1),2)+1</definedName>
    <definedName name="HazPaz1">DATE(Yıl,6,1)-WEEKDAY(DATE(Yıl,6,1),2)+1</definedName>
    <definedName name="KasPaz1" localSheetId="2">DATE(Takvim!Yıl,11,1)-WEEKDAY(DATE(Takvim!Yıl,11,1),2)+1</definedName>
    <definedName name="KasPaz1">DATE(Yıl,11,1)-WEEKDAY(DATE(Yıl,11,1),2)+1</definedName>
    <definedName name="MarPaz1" localSheetId="2">DATE(Takvim!Yıl,3,1)-WEEKDAY(DATE(Takvim!Yıl,3,1),2)+1</definedName>
    <definedName name="MarPaz1">DATE(Yıl,3,1)-WEEKDAY(DATE(Yıl,3,1),2)+1</definedName>
    <definedName name="MayPaz1" localSheetId="2">DATE(Takvim!Yıl,5,1)-WEEKDAY(DATE(Takvim!Yıl,5,1),2)+1</definedName>
    <definedName name="MayPaz1">DATE(Yıl,5,1)-WEEKDAY(DATE(Yıl,5,1),2)+1</definedName>
    <definedName name="NisPaz1" localSheetId="2">DATE(Takvim!Yıl,4,1)-WEEKDAY(DATE(Takvim!Yıl,4,1),2)+1</definedName>
    <definedName name="NisPaz1">DATE(Yıl,4,1)-WEEKDAY(DATE(Yıl,4,1),2)+1</definedName>
    <definedName name="OcaPaz1" localSheetId="2">DATE(Takvim!Yıl,1,1)-WEEKDAY(DATE(Takvim!Yıl,1,1),2)+1</definedName>
    <definedName name="OcaPaz1">DATE(Yıl,1,1)-WEEKDAY(DATE(Yıl,1,1),2)+1</definedName>
    <definedName name="ŞubPaz1" localSheetId="2">DATE(Takvim!Yıl,2,1)-WEEKDAY(DATE(Takvim!Yıl,2,1),2)+1</definedName>
    <definedName name="ŞubPaz1">DATE(Yıl,2,1)-WEEKDAY(DATE(Yıl,2,1),2)+1</definedName>
    <definedName name="TemPaz1" localSheetId="2">DATE(Takvim!Yıl,7,1)-WEEKDAY(DATE(Takvim!Yıl,7,1),2)+1</definedName>
    <definedName name="TemPaz1">DATE(Yıl,7,1)-WEEKDAY(DATE(Yıl,7,1),2)+1</definedName>
    <definedName name="_xlnm.Print_Area" localSheetId="1">akademik!$A$1:$R$27</definedName>
    <definedName name="_xlnm.Print_Area" localSheetId="2">Takvim!$B$2:$AJ$34</definedName>
    <definedName name="_xlnm.Print_Area" localSheetId="0">'yıllık (2)'!$A$1:$R$43</definedName>
    <definedName name="Yıl" localSheetId="2">Takvim!$Z$2</definedName>
    <definedName name="Yıl">[1]Takvim!$Z$2</definedName>
  </definedNames>
  <calcPr calcId="162913"/>
</workbook>
</file>

<file path=xl/calcChain.xml><?xml version="1.0" encoding="utf-8"?>
<calcChain xmlns="http://schemas.openxmlformats.org/spreadsheetml/2006/main">
  <c r="AH30" i="5" l="1"/>
  <c r="AG30" i="5"/>
  <c r="AF30" i="5"/>
  <c r="AE30" i="5"/>
  <c r="AD30" i="5"/>
  <c r="AC30" i="5"/>
  <c r="AB30" i="5"/>
  <c r="Z30" i="5"/>
  <c r="Y30" i="5"/>
  <c r="X30" i="5"/>
  <c r="W30" i="5"/>
  <c r="V30" i="5"/>
  <c r="U30" i="5"/>
  <c r="T30" i="5"/>
  <c r="R30" i="5"/>
  <c r="Q30" i="5"/>
  <c r="P30" i="5"/>
  <c r="O30" i="5"/>
  <c r="N30" i="5"/>
  <c r="M30" i="5"/>
  <c r="L30" i="5"/>
  <c r="J30" i="5"/>
  <c r="I30" i="5"/>
  <c r="H30" i="5"/>
  <c r="G30" i="5"/>
  <c r="F30" i="5"/>
  <c r="E30" i="5"/>
  <c r="D30" i="5"/>
  <c r="AH29" i="5"/>
  <c r="AG29" i="5"/>
  <c r="AF29" i="5"/>
  <c r="AE29" i="5"/>
  <c r="AD29" i="5"/>
  <c r="AC29" i="5"/>
  <c r="AB29" i="5"/>
  <c r="Z29" i="5"/>
  <c r="Y29" i="5"/>
  <c r="X29" i="5"/>
  <c r="W29" i="5"/>
  <c r="V29" i="5"/>
  <c r="U29" i="5"/>
  <c r="T29" i="5"/>
  <c r="R29" i="5"/>
  <c r="Q29" i="5"/>
  <c r="P29" i="5"/>
  <c r="O29" i="5"/>
  <c r="N29" i="5"/>
  <c r="M29" i="5"/>
  <c r="L29" i="5"/>
  <c r="J29" i="5"/>
  <c r="I29" i="5"/>
  <c r="H29" i="5"/>
  <c r="G29" i="5"/>
  <c r="F29" i="5"/>
  <c r="E29" i="5"/>
  <c r="D29" i="5"/>
  <c r="AH28" i="5"/>
  <c r="AG28" i="5"/>
  <c r="AF28" i="5"/>
  <c r="AE28" i="5"/>
  <c r="AD28" i="5"/>
  <c r="AC28" i="5"/>
  <c r="AB28" i="5"/>
  <c r="Z28" i="5"/>
  <c r="Y28" i="5"/>
  <c r="X28" i="5"/>
  <c r="W28" i="5"/>
  <c r="V28" i="5"/>
  <c r="U28" i="5"/>
  <c r="T28" i="5"/>
  <c r="R28" i="5"/>
  <c r="Q28" i="5"/>
  <c r="P28" i="5"/>
  <c r="O28" i="5"/>
  <c r="N28" i="5"/>
  <c r="M28" i="5"/>
  <c r="L28" i="5"/>
  <c r="J28" i="5"/>
  <c r="I28" i="5"/>
  <c r="H28" i="5"/>
  <c r="G28" i="5"/>
  <c r="F28" i="5"/>
  <c r="E28" i="5"/>
  <c r="D28" i="5"/>
  <c r="AH27" i="5"/>
  <c r="AG27" i="5"/>
  <c r="AF27" i="5"/>
  <c r="AE27" i="5"/>
  <c r="AD27" i="5"/>
  <c r="AC27" i="5"/>
  <c r="AB27" i="5"/>
  <c r="Z27" i="5"/>
  <c r="Y27" i="5"/>
  <c r="X27" i="5"/>
  <c r="W27" i="5"/>
  <c r="V27" i="5"/>
  <c r="U27" i="5"/>
  <c r="T27" i="5"/>
  <c r="R27" i="5"/>
  <c r="Q27" i="5"/>
  <c r="P27" i="5"/>
  <c r="O27" i="5"/>
  <c r="N27" i="5"/>
  <c r="M27" i="5"/>
  <c r="L27" i="5"/>
  <c r="J27" i="5"/>
  <c r="I27" i="5"/>
  <c r="H27" i="5"/>
  <c r="G27" i="5"/>
  <c r="F27" i="5"/>
  <c r="E27" i="5"/>
  <c r="D27" i="5"/>
  <c r="AH26" i="5"/>
  <c r="AG26" i="5"/>
  <c r="AF26" i="5"/>
  <c r="AE26" i="5"/>
  <c r="AD26" i="5"/>
  <c r="AC26" i="5"/>
  <c r="AB26" i="5"/>
  <c r="Z26" i="5"/>
  <c r="Y26" i="5"/>
  <c r="X26" i="5"/>
  <c r="W26" i="5"/>
  <c r="V26" i="5"/>
  <c r="U26" i="5"/>
  <c r="T26" i="5"/>
  <c r="R26" i="5"/>
  <c r="Q26" i="5"/>
  <c r="P26" i="5"/>
  <c r="O26" i="5"/>
  <c r="N26" i="5"/>
  <c r="M26" i="5"/>
  <c r="L26" i="5"/>
  <c r="J26" i="5"/>
  <c r="I26" i="5"/>
  <c r="H26" i="5"/>
  <c r="G26" i="5"/>
  <c r="F26" i="5"/>
  <c r="E26" i="5"/>
  <c r="D26" i="5"/>
  <c r="AH25" i="5"/>
  <c r="AG25" i="5"/>
  <c r="AF25" i="5"/>
  <c r="AE25" i="5"/>
  <c r="AD25" i="5"/>
  <c r="AC25" i="5"/>
  <c r="AB25" i="5"/>
  <c r="Z25" i="5"/>
  <c r="Y25" i="5"/>
  <c r="X25" i="5"/>
  <c r="W25" i="5"/>
  <c r="V25" i="5"/>
  <c r="U25" i="5"/>
  <c r="T25" i="5"/>
  <c r="R25" i="5"/>
  <c r="Q25" i="5"/>
  <c r="P25" i="5"/>
  <c r="O25" i="5"/>
  <c r="N25" i="5"/>
  <c r="M25" i="5"/>
  <c r="L25" i="5"/>
  <c r="J25" i="5"/>
  <c r="I25" i="5"/>
  <c r="H25" i="5"/>
  <c r="G25" i="5"/>
  <c r="F25" i="5"/>
  <c r="E25" i="5"/>
  <c r="D25" i="5"/>
  <c r="AH21" i="5"/>
  <c r="AG21" i="5"/>
  <c r="AF21" i="5"/>
  <c r="AE21" i="5"/>
  <c r="AD21" i="5"/>
  <c r="AC21" i="5"/>
  <c r="AB21" i="5"/>
  <c r="Z21" i="5"/>
  <c r="Y21" i="5"/>
  <c r="X21" i="5"/>
  <c r="W21" i="5"/>
  <c r="V21" i="5"/>
  <c r="U21" i="5"/>
  <c r="T21" i="5"/>
  <c r="R21" i="5"/>
  <c r="Q21" i="5"/>
  <c r="P21" i="5"/>
  <c r="O21" i="5"/>
  <c r="N21" i="5"/>
  <c r="M21" i="5"/>
  <c r="L21" i="5"/>
  <c r="J21" i="5"/>
  <c r="I21" i="5"/>
  <c r="H21" i="5"/>
  <c r="G21" i="5"/>
  <c r="F21" i="5"/>
  <c r="E21" i="5"/>
  <c r="D21" i="5"/>
  <c r="AH20" i="5"/>
  <c r="AG20" i="5"/>
  <c r="AF20" i="5"/>
  <c r="AE20" i="5"/>
  <c r="AD20" i="5"/>
  <c r="AC20" i="5"/>
  <c r="AB20" i="5"/>
  <c r="Z20" i="5"/>
  <c r="Y20" i="5"/>
  <c r="X20" i="5"/>
  <c r="W20" i="5"/>
  <c r="V20" i="5"/>
  <c r="U20" i="5"/>
  <c r="T20" i="5"/>
  <c r="R20" i="5"/>
  <c r="Q20" i="5"/>
  <c r="P20" i="5"/>
  <c r="O20" i="5"/>
  <c r="N20" i="5"/>
  <c r="M20" i="5"/>
  <c r="L20" i="5"/>
  <c r="J20" i="5"/>
  <c r="I20" i="5"/>
  <c r="H20" i="5"/>
  <c r="G20" i="5"/>
  <c r="F20" i="5"/>
  <c r="E20" i="5"/>
  <c r="D20" i="5"/>
  <c r="AH19" i="5"/>
  <c r="AG19" i="5"/>
  <c r="AF19" i="5"/>
  <c r="AE19" i="5"/>
  <c r="AD19" i="5"/>
  <c r="AC19" i="5"/>
  <c r="AB19" i="5"/>
  <c r="Z19" i="5"/>
  <c r="Y19" i="5"/>
  <c r="X19" i="5"/>
  <c r="W19" i="5"/>
  <c r="V19" i="5"/>
  <c r="U19" i="5"/>
  <c r="T19" i="5"/>
  <c r="R19" i="5"/>
  <c r="Q19" i="5"/>
  <c r="P19" i="5"/>
  <c r="O19" i="5"/>
  <c r="N19" i="5"/>
  <c r="M19" i="5"/>
  <c r="L19" i="5"/>
  <c r="J19" i="5"/>
  <c r="I19" i="5"/>
  <c r="H19" i="5"/>
  <c r="G19" i="5"/>
  <c r="F19" i="5"/>
  <c r="E19" i="5"/>
  <c r="D19" i="5"/>
  <c r="AH18" i="5"/>
  <c r="AG18" i="5"/>
  <c r="AF18" i="5"/>
  <c r="AE18" i="5"/>
  <c r="AD18" i="5"/>
  <c r="AC18" i="5"/>
  <c r="AB18" i="5"/>
  <c r="Z18" i="5"/>
  <c r="Y18" i="5"/>
  <c r="X18" i="5"/>
  <c r="W18" i="5"/>
  <c r="V18" i="5"/>
  <c r="U18" i="5"/>
  <c r="T18" i="5"/>
  <c r="R18" i="5"/>
  <c r="Q18" i="5"/>
  <c r="P18" i="5"/>
  <c r="O18" i="5"/>
  <c r="N18" i="5"/>
  <c r="M18" i="5"/>
  <c r="L18" i="5"/>
  <c r="J18" i="5"/>
  <c r="I18" i="5"/>
  <c r="H18" i="5"/>
  <c r="G18" i="5"/>
  <c r="F18" i="5"/>
  <c r="E18" i="5"/>
  <c r="D18" i="5"/>
  <c r="AH17" i="5"/>
  <c r="AG17" i="5"/>
  <c r="AF17" i="5"/>
  <c r="AE17" i="5"/>
  <c r="AD17" i="5"/>
  <c r="AC17" i="5"/>
  <c r="AB17" i="5"/>
  <c r="Z17" i="5"/>
  <c r="Y17" i="5"/>
  <c r="X17" i="5"/>
  <c r="W17" i="5"/>
  <c r="V17" i="5"/>
  <c r="U17" i="5"/>
  <c r="T17" i="5"/>
  <c r="R17" i="5"/>
  <c r="Q17" i="5"/>
  <c r="P17" i="5"/>
  <c r="O17" i="5"/>
  <c r="N17" i="5"/>
  <c r="M17" i="5"/>
  <c r="L17" i="5"/>
  <c r="J17" i="5"/>
  <c r="I17" i="5"/>
  <c r="H17" i="5"/>
  <c r="G17" i="5"/>
  <c r="F17" i="5"/>
  <c r="E17" i="5"/>
  <c r="D17" i="5"/>
  <c r="AH16" i="5"/>
  <c r="AG16" i="5"/>
  <c r="AF16" i="5"/>
  <c r="AE16" i="5"/>
  <c r="AD16" i="5"/>
  <c r="AC16" i="5"/>
  <c r="AB16" i="5"/>
  <c r="Z16" i="5"/>
  <c r="Y16" i="5"/>
  <c r="X16" i="5"/>
  <c r="W16" i="5"/>
  <c r="V16" i="5"/>
  <c r="U16" i="5"/>
  <c r="T16" i="5"/>
  <c r="R16" i="5"/>
  <c r="Q16" i="5"/>
  <c r="P16" i="5"/>
  <c r="O16" i="5"/>
  <c r="N16" i="5"/>
  <c r="M16" i="5"/>
  <c r="L16" i="5"/>
  <c r="J16" i="5"/>
  <c r="I16" i="5"/>
  <c r="H16" i="5"/>
  <c r="G16" i="5"/>
  <c r="F16" i="5"/>
  <c r="E16" i="5"/>
  <c r="D16" i="5"/>
  <c r="AH12" i="5"/>
  <c r="AG12" i="5"/>
  <c r="AF12" i="5"/>
  <c r="AE12" i="5"/>
  <c r="AD12" i="5"/>
  <c r="AC12" i="5"/>
  <c r="AB12" i="5"/>
  <c r="Z12" i="5"/>
  <c r="Y12" i="5"/>
  <c r="X12" i="5"/>
  <c r="W12" i="5"/>
  <c r="V12" i="5"/>
  <c r="U12" i="5"/>
  <c r="T12" i="5"/>
  <c r="R12" i="5"/>
  <c r="Q12" i="5"/>
  <c r="P12" i="5"/>
  <c r="O12" i="5"/>
  <c r="N12" i="5"/>
  <c r="M12" i="5"/>
  <c r="L12" i="5"/>
  <c r="J12" i="5"/>
  <c r="AP23" i="5" s="1"/>
  <c r="I12" i="5"/>
  <c r="AO23" i="5" s="1"/>
  <c r="H12" i="5"/>
  <c r="AN23" i="5" s="1"/>
  <c r="G12" i="5"/>
  <c r="F12" i="5"/>
  <c r="E12" i="5"/>
  <c r="D12" i="5"/>
  <c r="AH11" i="5"/>
  <c r="AG11" i="5"/>
  <c r="AF11" i="5"/>
  <c r="AE11" i="5"/>
  <c r="AD11" i="5"/>
  <c r="AC11" i="5"/>
  <c r="AB11" i="5"/>
  <c r="Z11" i="5"/>
  <c r="Y11" i="5"/>
  <c r="X11" i="5"/>
  <c r="W11" i="5"/>
  <c r="V11" i="5"/>
  <c r="U11" i="5"/>
  <c r="T11" i="5"/>
  <c r="R11" i="5"/>
  <c r="Q11" i="5"/>
  <c r="P11" i="5"/>
  <c r="O11" i="5"/>
  <c r="N11" i="5"/>
  <c r="M11" i="5"/>
  <c r="L11" i="5"/>
  <c r="J11" i="5"/>
  <c r="AP22" i="5" s="1"/>
  <c r="I11" i="5"/>
  <c r="AO22" i="5" s="1"/>
  <c r="H11" i="5"/>
  <c r="AN22" i="5" s="1"/>
  <c r="G11" i="5"/>
  <c r="F11" i="5"/>
  <c r="E11" i="5"/>
  <c r="D11" i="5"/>
  <c r="AH10" i="5"/>
  <c r="AG10" i="5"/>
  <c r="AF10" i="5"/>
  <c r="AE10" i="5"/>
  <c r="AD10" i="5"/>
  <c r="AC10" i="5"/>
  <c r="AB10" i="5"/>
  <c r="Z10" i="5"/>
  <c r="Y10" i="5"/>
  <c r="X10" i="5"/>
  <c r="W10" i="5"/>
  <c r="V10" i="5"/>
  <c r="U10" i="5"/>
  <c r="T10" i="5"/>
  <c r="R10" i="5"/>
  <c r="Q10" i="5"/>
  <c r="P10" i="5"/>
  <c r="O10" i="5"/>
  <c r="N10" i="5"/>
  <c r="M10" i="5"/>
  <c r="L10" i="5"/>
  <c r="J10" i="5"/>
  <c r="AP21" i="5" s="1"/>
  <c r="I10" i="5"/>
  <c r="AO21" i="5" s="1"/>
  <c r="H10" i="5"/>
  <c r="AN21" i="5" s="1"/>
  <c r="G10" i="5"/>
  <c r="F10" i="5"/>
  <c r="E10" i="5"/>
  <c r="D10" i="5"/>
  <c r="AH9" i="5"/>
  <c r="AG9" i="5"/>
  <c r="AF9" i="5"/>
  <c r="AE9" i="5"/>
  <c r="AD9" i="5"/>
  <c r="AC9" i="5"/>
  <c r="AB9" i="5"/>
  <c r="Z9" i="5"/>
  <c r="Y9" i="5"/>
  <c r="X9" i="5"/>
  <c r="W9" i="5"/>
  <c r="V9" i="5"/>
  <c r="U9" i="5"/>
  <c r="T9" i="5"/>
  <c r="R9" i="5"/>
  <c r="Q9" i="5"/>
  <c r="P9" i="5"/>
  <c r="O9" i="5"/>
  <c r="N9" i="5"/>
  <c r="M9" i="5"/>
  <c r="L9" i="5"/>
  <c r="J9" i="5"/>
  <c r="AP20" i="5" s="1"/>
  <c r="I9" i="5"/>
  <c r="AO20" i="5" s="1"/>
  <c r="H9" i="5"/>
  <c r="AN20" i="5" s="1"/>
  <c r="G9" i="5"/>
  <c r="F9" i="5"/>
  <c r="E9" i="5"/>
  <c r="D9" i="5"/>
  <c r="AH8" i="5"/>
  <c r="AG8" i="5"/>
  <c r="AF8" i="5"/>
  <c r="AE8" i="5"/>
  <c r="AD8" i="5"/>
  <c r="AC8" i="5"/>
  <c r="AB8" i="5"/>
  <c r="Z8" i="5"/>
  <c r="Y8" i="5"/>
  <c r="X8" i="5"/>
  <c r="W8" i="5"/>
  <c r="V8" i="5"/>
  <c r="U8" i="5"/>
  <c r="T8" i="5"/>
  <c r="R8" i="5"/>
  <c r="Q8" i="5"/>
  <c r="P8" i="5"/>
  <c r="O8" i="5"/>
  <c r="N8" i="5"/>
  <c r="M8" i="5"/>
  <c r="L8" i="5"/>
  <c r="J8" i="5"/>
  <c r="AP19" i="5" s="1"/>
  <c r="I8" i="5"/>
  <c r="AO19" i="5" s="1"/>
  <c r="H8" i="5"/>
  <c r="AN19" i="5" s="1"/>
  <c r="G8" i="5"/>
  <c r="F8" i="5"/>
  <c r="E8" i="5"/>
  <c r="D8" i="5"/>
  <c r="AH7" i="5"/>
  <c r="AG7" i="5"/>
  <c r="AF7" i="5"/>
  <c r="AE7" i="5"/>
  <c r="AD7" i="5"/>
  <c r="AC7" i="5"/>
  <c r="AB7" i="5"/>
  <c r="Z7" i="5"/>
  <c r="Y7" i="5"/>
  <c r="X7" i="5"/>
  <c r="W7" i="5"/>
  <c r="V7" i="5"/>
  <c r="U7" i="5"/>
  <c r="T7" i="5"/>
  <c r="R7" i="5"/>
  <c r="Q7" i="5"/>
  <c r="P7" i="5"/>
  <c r="O7" i="5"/>
  <c r="N7" i="5"/>
  <c r="M7" i="5"/>
  <c r="L7" i="5"/>
  <c r="J7" i="5"/>
  <c r="AQ18" i="5" s="1"/>
  <c r="I7" i="5"/>
  <c r="AP18" i="5" s="1"/>
  <c r="H7" i="5"/>
  <c r="AO18" i="5" s="1"/>
  <c r="G7" i="5"/>
  <c r="AN18" i="5" s="1"/>
  <c r="F7" i="5"/>
  <c r="E7" i="5"/>
  <c r="D7" i="5"/>
  <c r="G35" i="3" l="1"/>
  <c r="I35" i="3"/>
</calcChain>
</file>

<file path=xl/sharedStrings.xml><?xml version="1.0" encoding="utf-8"?>
<sst xmlns="http://schemas.openxmlformats.org/spreadsheetml/2006/main" count="219" uniqueCount="55">
  <si>
    <t>MARMARA ÜNİVERSİTESİ</t>
  </si>
  <si>
    <t>HUKUK FAKÜLTESİ DEKANLIĞI</t>
  </si>
  <si>
    <t>İZİN FORMU</t>
  </si>
  <si>
    <t>MEMURUN :</t>
  </si>
  <si>
    <t>Adı Soyadı</t>
  </si>
  <si>
    <t>:</t>
  </si>
  <si>
    <t>Ünvanı</t>
  </si>
  <si>
    <t>Sicil Numarası</t>
  </si>
  <si>
    <t>Görev Yeri</t>
  </si>
  <si>
    <t>İzin Süresi</t>
  </si>
  <si>
    <t/>
  </si>
  <si>
    <t>Başladığı Gün</t>
  </si>
  <si>
    <t>Bittiği Gün</t>
  </si>
  <si>
    <t>İzin Nedeni</t>
  </si>
  <si>
    <t>Yıllık izin</t>
  </si>
  <si>
    <t>Gideceği Yerdeki 
Adresi</t>
  </si>
  <si>
    <t>Talep Sahibinin</t>
  </si>
  <si>
    <t>Tarih</t>
  </si>
  <si>
    <t>İmza</t>
  </si>
  <si>
    <t>Kontrol Eden Yetkilinin</t>
  </si>
  <si>
    <t>Birim Yetkilisi</t>
  </si>
  <si>
    <t>İzin Süresince yerine bakanın adı soyadı:</t>
  </si>
  <si>
    <t>Büro Sorumlusu</t>
  </si>
  <si>
    <t>İZİN DURUMU</t>
  </si>
  <si>
    <t>İzin Türü</t>
  </si>
  <si>
    <t>İstenen Süre</t>
  </si>
  <si>
    <t>Yılı İzni</t>
  </si>
  <si>
    <t>Kalan izin</t>
  </si>
  <si>
    <t>Yıllık İzin</t>
  </si>
  <si>
    <t>20…</t>
  </si>
  <si>
    <t>Adıgeçenin yukarıda belirtilen tarihler arasında izinli sayılmasında sakınca yoktur.</t>
  </si>
  <si>
    <t>Yukarıda belirtilen süre içinde (Yıllık) izinli sayılmamı müsaadelerinize arz ederim.</t>
  </si>
  <si>
    <t>Yol İzni</t>
  </si>
  <si>
    <t xml:space="preserve"> ocak</t>
  </si>
  <si>
    <t xml:space="preserve"> şubat</t>
  </si>
  <si>
    <t xml:space="preserve"> mart</t>
  </si>
  <si>
    <t xml:space="preserve"> nisan</t>
  </si>
  <si>
    <t>pt</t>
  </si>
  <si>
    <t>sa</t>
  </si>
  <si>
    <t>ça</t>
  </si>
  <si>
    <t>pe</t>
  </si>
  <si>
    <t>cu</t>
  </si>
  <si>
    <t>ct</t>
  </si>
  <si>
    <t>pz</t>
  </si>
  <si>
    <t xml:space="preserve"> mayıs</t>
  </si>
  <si>
    <t xml:space="preserve"> haziran</t>
  </si>
  <si>
    <t xml:space="preserve"> temmuz</t>
  </si>
  <si>
    <t xml:space="preserve"> ağustos</t>
  </si>
  <si>
    <t xml:space="preserve"> eylül</t>
  </si>
  <si>
    <t xml:space="preserve"> ekim</t>
  </si>
  <si>
    <t xml:space="preserve"> kasım</t>
  </si>
  <si>
    <t xml:space="preserve"> aralık</t>
  </si>
  <si>
    <t>Anabilim Dalı Başkanı</t>
  </si>
  <si>
    <t>AKADEMİK PERSONELİN :</t>
  </si>
  <si>
    <t>Unvanı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</si>
</sst>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101041F]General"/>
    <numFmt numFmtId="165" formatCode="[$-101041F]0000000"/>
    <numFmt numFmtId="166" formatCode="##\ &quot;Gün&quot;"/>
    <numFmt numFmtId="167" formatCode="[$-F800]dddd\,\ mmmm\ dd\,\ yyyy"/>
    <numFmt numFmtId="168" formatCode="d"/>
    <numFmt numFmtId="169" formatCode="dd"/>
  </numFmts>
  <fonts count="28" x14ac:knownFonts="1">
    <font>
      <sz val="10"/>
      <name val="Arial"/>
      <charset val="1"/>
    </font>
    <font>
      <b/>
      <sz val="11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b/>
      <u/>
      <sz val="9"/>
      <color indexed="8"/>
      <name val="Arial"/>
      <family val="2"/>
      <charset val="162"/>
    </font>
    <font>
      <b/>
      <u/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color rgb="FF000066"/>
      <name val="Calibri"/>
      <family val="2"/>
      <scheme val="minor"/>
    </font>
    <font>
      <b/>
      <sz val="10"/>
      <color rgb="FF000066"/>
      <name val="Calibri"/>
      <family val="2"/>
      <scheme val="minor"/>
    </font>
    <font>
      <sz val="44"/>
      <color theme="9" tint="-0.24994659260841701"/>
      <name val="Calibri Light"/>
      <family val="2"/>
      <scheme val="major"/>
    </font>
    <font>
      <sz val="44"/>
      <color rgb="FF000066"/>
      <name val="Calibri Light"/>
      <family val="2"/>
      <scheme val="major"/>
    </font>
    <font>
      <sz val="12"/>
      <color rgb="FF000066"/>
      <name val="Calibri Light"/>
      <family val="2"/>
      <scheme val="major"/>
    </font>
    <font>
      <sz val="14"/>
      <color theme="9" tint="-0.24994659260841701"/>
      <name val="Calibri Light"/>
      <family val="2"/>
      <scheme val="major"/>
    </font>
    <font>
      <sz val="14"/>
      <color rgb="FF000066"/>
      <name val="Calibri Light"/>
      <family val="2"/>
      <scheme val="major"/>
    </font>
    <font>
      <sz val="16"/>
      <color rgb="FF000066"/>
      <name val="Calibri Light"/>
      <family val="1"/>
      <scheme val="major"/>
    </font>
    <font>
      <b/>
      <sz val="14"/>
      <color rgb="FF000066"/>
      <name val="Calibri Light"/>
      <family val="2"/>
      <scheme val="major"/>
    </font>
    <font>
      <sz val="48"/>
      <color rgb="FF000066"/>
      <name val="Calibri Light"/>
      <family val="1"/>
      <scheme val="major"/>
    </font>
    <font>
      <sz val="10"/>
      <color theme="9" tint="-0.24994659260841701"/>
      <name val="Calibri Light"/>
      <family val="2"/>
      <scheme val="major"/>
    </font>
    <font>
      <b/>
      <sz val="10"/>
      <color rgb="FF000066"/>
      <name val="Calibri Light"/>
      <family val="2"/>
      <scheme val="major"/>
    </font>
    <font>
      <sz val="8"/>
      <color theme="1" tint="0.24994659260841701"/>
      <name val="Calibri"/>
      <family val="2"/>
      <scheme val="minor"/>
    </font>
    <font>
      <sz val="8"/>
      <color rgb="FF000066"/>
      <name val="Calibri"/>
      <family val="2"/>
      <scheme val="minor"/>
    </font>
    <font>
      <b/>
      <sz val="8"/>
      <color rgb="FF000066"/>
      <name val="Calibri"/>
      <family val="2"/>
      <scheme val="minor"/>
    </font>
    <font>
      <sz val="10"/>
      <color rgb="FF000066"/>
      <name val="Arial"/>
      <family val="2"/>
      <charset val="162"/>
    </font>
    <font>
      <i/>
      <sz val="14"/>
      <color rgb="FF000066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wrapText="1"/>
    </xf>
    <xf numFmtId="0" fontId="10" fillId="0" borderId="0"/>
    <xf numFmtId="1" fontId="13" fillId="0" borderId="0">
      <alignment horizontal="center" vertical="center"/>
    </xf>
    <xf numFmtId="0" fontId="16" fillId="3" borderId="0">
      <alignment horizontal="left"/>
    </xf>
    <xf numFmtId="0" fontId="21" fillId="4" borderId="0">
      <alignment horizontal="center" vertical="center"/>
    </xf>
    <xf numFmtId="168" fontId="23" fillId="3" borderId="0">
      <alignment horizontal="center" vertical="center"/>
    </xf>
  </cellStyleXfs>
  <cellXfs count="129">
    <xf numFmtId="0" fontId="0" fillId="0" borderId="0" xfId="0">
      <alignment wrapText="1"/>
    </xf>
    <xf numFmtId="0" fontId="0" fillId="0" borderId="0" xfId="0" applyFill="1" applyBorder="1" applyAlignment="1" applyProtection="1">
      <alignment horizontal="center" vertical="top" readingOrder="1"/>
      <protection hidden="1"/>
    </xf>
    <xf numFmtId="0" fontId="0" fillId="0" borderId="0" xfId="0" applyFill="1" applyProtection="1">
      <alignment wrapText="1"/>
      <protection hidden="1"/>
    </xf>
    <xf numFmtId="0" fontId="10" fillId="0" borderId="0" xfId="0" applyFont="1" applyFill="1" applyBorder="1" applyProtection="1">
      <alignment wrapText="1"/>
      <protection hidden="1"/>
    </xf>
    <xf numFmtId="164" fontId="9" fillId="2" borderId="21" xfId="0" applyNumberFormat="1" applyFont="1" applyFill="1" applyBorder="1" applyAlignment="1" applyProtection="1">
      <alignment horizontal="center" vertical="center" wrapText="1" readingOrder="1"/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2" borderId="0" xfId="0" applyFill="1" applyBorder="1" applyAlignment="1" applyProtection="1">
      <alignment horizontal="center" vertical="top" readingOrder="1"/>
      <protection hidden="1"/>
    </xf>
    <xf numFmtId="0" fontId="0" fillId="2" borderId="12" xfId="0" applyFill="1" applyBorder="1" applyAlignment="1" applyProtection="1">
      <alignment horizontal="center" vertical="top" readingOrder="1"/>
      <protection hidden="1"/>
    </xf>
    <xf numFmtId="0" fontId="0" fillId="2" borderId="13" xfId="0" applyFill="1" applyBorder="1" applyAlignment="1" applyProtection="1">
      <alignment horizontal="center" vertical="top" readingOrder="1"/>
      <protection hidden="1"/>
    </xf>
    <xf numFmtId="0" fontId="0" fillId="2" borderId="14" xfId="0" applyFill="1" applyBorder="1" applyAlignment="1" applyProtection="1">
      <alignment horizontal="center" vertical="top" readingOrder="1"/>
      <protection hidden="1"/>
    </xf>
    <xf numFmtId="0" fontId="0" fillId="2" borderId="15" xfId="0" applyFill="1" applyBorder="1" applyAlignment="1" applyProtection="1">
      <alignment horizontal="center" vertical="top" readingOrder="1"/>
      <protection hidden="1"/>
    </xf>
    <xf numFmtId="0" fontId="0" fillId="2" borderId="16" xfId="0" applyFill="1" applyBorder="1" applyAlignment="1" applyProtection="1">
      <alignment horizontal="center" vertical="top" readingOrder="1"/>
      <protection hidden="1"/>
    </xf>
    <xf numFmtId="0" fontId="0" fillId="2" borderId="17" xfId="0" applyFill="1" applyBorder="1" applyAlignment="1" applyProtection="1">
      <alignment horizontal="center" vertical="top" readingOrder="1"/>
      <protection hidden="1"/>
    </xf>
    <xf numFmtId="0" fontId="0" fillId="2" borderId="18" xfId="0" applyFill="1" applyBorder="1" applyAlignment="1" applyProtection="1">
      <alignment horizontal="center" vertical="top" readingOrder="1"/>
      <protection hidden="1"/>
    </xf>
    <xf numFmtId="0" fontId="0" fillId="2" borderId="19" xfId="0" applyFill="1" applyBorder="1" applyAlignment="1" applyProtection="1">
      <alignment horizontal="center" vertical="top" readingOrder="1"/>
      <protection hidden="1"/>
    </xf>
    <xf numFmtId="0" fontId="0" fillId="2" borderId="0" xfId="0" applyFill="1" applyProtection="1">
      <alignment wrapText="1"/>
      <protection hidden="1"/>
    </xf>
    <xf numFmtId="0" fontId="10" fillId="2" borderId="0" xfId="0" applyFont="1" applyFill="1" applyBorder="1" applyProtection="1">
      <alignment wrapText="1"/>
      <protection hidden="1"/>
    </xf>
    <xf numFmtId="166" fontId="10" fillId="2" borderId="23" xfId="0" applyNumberFormat="1" applyFont="1" applyFill="1" applyBorder="1" applyAlignment="1" applyProtection="1">
      <alignment vertical="center" wrapText="1"/>
      <protection hidden="1"/>
    </xf>
    <xf numFmtId="0" fontId="10" fillId="2" borderId="23" xfId="0" applyFont="1" applyFill="1" applyBorder="1" applyAlignment="1" applyProtection="1">
      <alignment vertical="center" wrapText="1"/>
      <protection hidden="1"/>
    </xf>
    <xf numFmtId="0" fontId="0" fillId="2" borderId="2" xfId="0" applyFill="1" applyBorder="1" applyAlignment="1" applyProtection="1">
      <alignment horizontal="center" vertical="top" readingOrder="1"/>
      <protection hidden="1"/>
    </xf>
    <xf numFmtId="0" fontId="0" fillId="2" borderId="3" xfId="0" applyFill="1" applyBorder="1" applyAlignment="1" applyProtection="1">
      <alignment horizontal="center" vertical="top" readingOrder="1"/>
      <protection hidden="1"/>
    </xf>
    <xf numFmtId="0" fontId="0" fillId="2" borderId="4" xfId="0" applyFill="1" applyBorder="1" applyAlignment="1" applyProtection="1">
      <alignment horizontal="center" vertical="top" readingOrder="1"/>
      <protection hidden="1"/>
    </xf>
    <xf numFmtId="0" fontId="0" fillId="2" borderId="5" xfId="0" applyFill="1" applyBorder="1" applyAlignment="1" applyProtection="1">
      <alignment horizontal="center" vertical="top" readingOrder="1"/>
      <protection hidden="1"/>
    </xf>
    <xf numFmtId="0" fontId="0" fillId="2" borderId="6" xfId="0" applyFill="1" applyBorder="1" applyProtection="1">
      <alignment wrapText="1"/>
      <protection hidden="1"/>
    </xf>
    <xf numFmtId="0" fontId="0" fillId="2" borderId="7" xfId="0" applyFill="1" applyBorder="1" applyProtection="1">
      <alignment wrapText="1"/>
      <protection hidden="1"/>
    </xf>
    <xf numFmtId="0" fontId="10" fillId="0" borderId="23" xfId="0" applyFont="1" applyFill="1" applyBorder="1" applyAlignment="1" applyProtection="1">
      <alignment horizontal="right" vertical="center" wrapText="1"/>
      <protection locked="0"/>
    </xf>
    <xf numFmtId="166" fontId="10" fillId="0" borderId="23" xfId="0" applyNumberFormat="1" applyFont="1" applyFill="1" applyBorder="1" applyAlignment="1" applyProtection="1">
      <alignment vertical="center" wrapText="1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2" borderId="15" xfId="0" applyFill="1" applyBorder="1" applyProtection="1">
      <alignment wrapText="1"/>
      <protection hidden="1"/>
    </xf>
    <xf numFmtId="0" fontId="0" fillId="2" borderId="0" xfId="0" applyFill="1" applyBorder="1" applyProtection="1">
      <alignment wrapText="1"/>
      <protection hidden="1"/>
    </xf>
    <xf numFmtId="0" fontId="0" fillId="2" borderId="16" xfId="0" applyFill="1" applyBorder="1" applyProtection="1">
      <alignment wrapText="1"/>
      <protection hidden="1"/>
    </xf>
    <xf numFmtId="0" fontId="0" fillId="2" borderId="17" xfId="0" applyFill="1" applyBorder="1" applyProtection="1">
      <alignment wrapText="1"/>
      <protection hidden="1"/>
    </xf>
    <xf numFmtId="0" fontId="0" fillId="2" borderId="18" xfId="0" applyFill="1" applyBorder="1" applyProtection="1">
      <alignment wrapText="1"/>
      <protection hidden="1"/>
    </xf>
    <xf numFmtId="0" fontId="0" fillId="2" borderId="19" xfId="0" applyFill="1" applyBorder="1" applyProtection="1">
      <alignment wrapText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2" borderId="0" xfId="0" applyFill="1" applyBorder="1" applyAlignment="1" applyProtection="1">
      <alignment horizontal="center" vertical="top" readingOrder="1"/>
      <protection hidden="1"/>
    </xf>
    <xf numFmtId="0" fontId="11" fillId="0" borderId="0" xfId="1" applyFont="1" applyFill="1"/>
    <xf numFmtId="0" fontId="12" fillId="0" borderId="0" xfId="1" applyFont="1" applyFill="1"/>
    <xf numFmtId="1" fontId="14" fillId="0" borderId="0" xfId="2" applyFont="1" applyFill="1" applyAlignment="1">
      <alignment vertical="center"/>
    </xf>
    <xf numFmtId="0" fontId="17" fillId="0" borderId="0" xfId="3" applyFont="1" applyFill="1">
      <alignment horizontal="left"/>
    </xf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top"/>
    </xf>
    <xf numFmtId="0" fontId="12" fillId="0" borderId="0" xfId="1" applyFont="1" applyFill="1" applyBorder="1" applyAlignment="1">
      <alignment vertical="top"/>
    </xf>
    <xf numFmtId="1" fontId="20" fillId="0" borderId="0" xfId="2" applyFont="1" applyFill="1" applyAlignment="1">
      <alignment vertical="top"/>
    </xf>
    <xf numFmtId="0" fontId="11" fillId="0" borderId="0" xfId="1" applyFont="1" applyFill="1" applyAlignment="1">
      <alignment horizontal="center"/>
    </xf>
    <xf numFmtId="0" fontId="22" fillId="0" borderId="0" xfId="4" applyFont="1" applyFill="1">
      <alignment horizontal="center" vertical="center"/>
    </xf>
    <xf numFmtId="0" fontId="12" fillId="0" borderId="0" xfId="1" applyFont="1" applyFill="1" applyBorder="1"/>
    <xf numFmtId="168" fontId="24" fillId="0" borderId="24" xfId="5" applyFont="1" applyFill="1" applyBorder="1">
      <alignment horizontal="center" vertical="center"/>
    </xf>
    <xf numFmtId="168" fontId="24" fillId="0" borderId="25" xfId="5" applyFont="1" applyFill="1" applyBorder="1">
      <alignment horizontal="center" vertical="center"/>
    </xf>
    <xf numFmtId="168" fontId="25" fillId="0" borderId="25" xfId="5" applyFont="1" applyFill="1" applyBorder="1">
      <alignment horizontal="center" vertical="center"/>
    </xf>
    <xf numFmtId="168" fontId="25" fillId="0" borderId="26" xfId="5" applyFont="1" applyFill="1" applyBorder="1">
      <alignment horizontal="center" vertical="center"/>
    </xf>
    <xf numFmtId="0" fontId="11" fillId="0" borderId="0" xfId="1" applyFont="1" applyFill="1" applyBorder="1"/>
    <xf numFmtId="0" fontId="11" fillId="5" borderId="0" xfId="1" applyFont="1" applyFill="1"/>
    <xf numFmtId="168" fontId="24" fillId="5" borderId="27" xfId="5" applyFont="1" applyFill="1" applyBorder="1">
      <alignment horizontal="center" vertical="center"/>
    </xf>
    <xf numFmtId="168" fontId="24" fillId="5" borderId="0" xfId="5" applyFont="1" applyFill="1" applyBorder="1">
      <alignment horizontal="center" vertical="center"/>
    </xf>
    <xf numFmtId="168" fontId="25" fillId="5" borderId="0" xfId="5" applyFont="1" applyFill="1" applyBorder="1">
      <alignment horizontal="center" vertical="center"/>
    </xf>
    <xf numFmtId="168" fontId="25" fillId="5" borderId="28" xfId="5" applyFont="1" applyFill="1" applyBorder="1">
      <alignment horizontal="center" vertical="center"/>
    </xf>
    <xf numFmtId="168" fontId="24" fillId="0" borderId="27" xfId="5" applyFont="1" applyFill="1" applyBorder="1">
      <alignment horizontal="center" vertical="center"/>
    </xf>
    <xf numFmtId="168" fontId="24" fillId="0" borderId="0" xfId="5" applyFont="1" applyFill="1" applyBorder="1">
      <alignment horizontal="center" vertical="center"/>
    </xf>
    <xf numFmtId="168" fontId="25" fillId="0" borderId="0" xfId="5" applyFont="1" applyFill="1" applyBorder="1">
      <alignment horizontal="center" vertical="center"/>
    </xf>
    <xf numFmtId="168" fontId="25" fillId="0" borderId="28" xfId="5" applyFont="1" applyFill="1" applyBorder="1">
      <alignment horizontal="center" vertical="center"/>
    </xf>
    <xf numFmtId="0" fontId="26" fillId="0" borderId="0" xfId="1" applyFont="1" applyFill="1"/>
    <xf numFmtId="168" fontId="24" fillId="5" borderId="29" xfId="5" applyFont="1" applyFill="1" applyBorder="1">
      <alignment horizontal="center" vertical="center"/>
    </xf>
    <xf numFmtId="168" fontId="24" fillId="5" borderId="30" xfId="5" applyFont="1" applyFill="1" applyBorder="1">
      <alignment horizontal="center" vertical="center"/>
    </xf>
    <xf numFmtId="168" fontId="25" fillId="5" borderId="30" xfId="5" applyFont="1" applyFill="1" applyBorder="1">
      <alignment horizontal="center" vertical="center"/>
    </xf>
    <xf numFmtId="168" fontId="25" fillId="5" borderId="31" xfId="5" applyFont="1" applyFill="1" applyBorder="1">
      <alignment horizontal="center" vertical="center"/>
    </xf>
    <xf numFmtId="168" fontId="11" fillId="0" borderId="0" xfId="1" applyNumberFormat="1" applyFont="1" applyFill="1" applyBorder="1"/>
    <xf numFmtId="168" fontId="12" fillId="0" borderId="0" xfId="1" applyNumberFormat="1" applyFont="1" applyFill="1" applyBorder="1"/>
    <xf numFmtId="169" fontId="11" fillId="0" borderId="0" xfId="1" applyNumberFormat="1" applyFont="1" applyFill="1"/>
    <xf numFmtId="169" fontId="12" fillId="0" borderId="0" xfId="1" applyNumberFormat="1" applyFont="1" applyFill="1"/>
    <xf numFmtId="169" fontId="11" fillId="0" borderId="0" xfId="1" applyNumberFormat="1" applyFont="1" applyFill="1" applyAlignment="1"/>
    <xf numFmtId="1" fontId="14" fillId="0" borderId="0" xfId="2" applyFont="1" applyFill="1" applyAlignment="1">
      <alignment vertical="top"/>
    </xf>
    <xf numFmtId="0" fontId="12" fillId="0" borderId="0" xfId="1" applyFont="1" applyFill="1" applyAlignment="1">
      <alignment vertical="top"/>
    </xf>
    <xf numFmtId="169" fontId="12" fillId="0" borderId="0" xfId="1" applyNumberFormat="1" applyFont="1" applyFill="1" applyAlignment="1"/>
    <xf numFmtId="169" fontId="27" fillId="0" borderId="0" xfId="1" applyNumberFormat="1" applyFont="1" applyFill="1" applyAlignment="1"/>
    <xf numFmtId="0" fontId="0" fillId="0" borderId="7" xfId="0" applyFill="1" applyBorder="1" applyProtection="1">
      <alignment wrapText="1"/>
      <protection locked="0"/>
    </xf>
    <xf numFmtId="0" fontId="0" fillId="0" borderId="8" xfId="0" applyFill="1" applyBorder="1" applyProtection="1">
      <alignment wrapText="1"/>
      <protection locked="0"/>
    </xf>
    <xf numFmtId="164" fontId="9" fillId="2" borderId="4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1" xfId="0" applyNumberFormat="1" applyFont="1" applyFill="1" applyBorder="1" applyAlignment="1" applyProtection="1">
      <alignment horizontal="left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2" borderId="23" xfId="0" applyFont="1" applyFill="1" applyBorder="1" applyAlignment="1" applyProtection="1">
      <alignment horizontal="right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166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164" fontId="6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0" fillId="0" borderId="0" xfId="0" applyFill="1" applyBorder="1" applyAlignment="1" applyProtection="1">
      <alignment horizontal="center" vertical="top" readingOrder="1"/>
      <protection locked="0"/>
    </xf>
    <xf numFmtId="0" fontId="0" fillId="0" borderId="16" xfId="0" applyFill="1" applyBorder="1" applyAlignment="1" applyProtection="1">
      <alignment horizontal="center" vertical="top" readingOrder="1"/>
      <protection locked="0"/>
    </xf>
    <xf numFmtId="164" fontId="7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2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21" xfId="0" applyNumberFormat="1" applyFont="1" applyFill="1" applyBorder="1" applyAlignment="1" applyProtection="1">
      <alignment horizontal="left" vertical="center" wrapText="1" readingOrder="1"/>
      <protection hidden="1"/>
    </xf>
    <xf numFmtId="165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1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9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1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4" fillId="2" borderId="15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12" xfId="0" applyNumberFormat="1" applyFont="1" applyFill="1" applyBorder="1" applyAlignment="1" applyProtection="1">
      <alignment horizontal="left" vertical="top" wrapText="1" readingOrder="1"/>
      <protection hidden="1"/>
    </xf>
    <xf numFmtId="164" fontId="4" fillId="2" borderId="13" xfId="0" applyNumberFormat="1" applyFont="1" applyFill="1" applyBorder="1" applyAlignment="1" applyProtection="1">
      <alignment horizontal="left" vertical="top" wrapText="1" readingOrder="1"/>
      <protection hidden="1"/>
    </xf>
    <xf numFmtId="164" fontId="4" fillId="2" borderId="14" xfId="0" applyNumberFormat="1" applyFont="1" applyFill="1" applyBorder="1" applyAlignment="1" applyProtection="1">
      <alignment horizontal="left" vertical="top" wrapText="1" readingOrder="1"/>
      <protection hidden="1"/>
    </xf>
    <xf numFmtId="164" fontId="7" fillId="2" borderId="15" xfId="0" applyNumberFormat="1" applyFont="1" applyFill="1" applyBorder="1" applyAlignment="1" applyProtection="1">
      <alignment horizontal="left" vertical="center" wrapText="1" readingOrder="1"/>
      <protection hidden="1"/>
    </xf>
    <xf numFmtId="167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7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6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3" fillId="2" borderId="20" xfId="0" applyNumberFormat="1" applyFont="1" applyFill="1" applyBorder="1" applyAlignment="1" applyProtection="1">
      <alignment horizontal="left" vertical="center" wrapText="1" readingOrder="1"/>
      <protection hidden="1"/>
    </xf>
    <xf numFmtId="166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9" fontId="11" fillId="0" borderId="0" xfId="1" applyNumberFormat="1" applyFont="1" applyFill="1" applyAlignment="1">
      <alignment horizontal="left"/>
    </xf>
    <xf numFmtId="0" fontId="19" fillId="0" borderId="0" xfId="3" applyFont="1" applyFill="1">
      <alignment horizontal="left"/>
    </xf>
    <xf numFmtId="1" fontId="14" fillId="0" borderId="0" xfId="2" applyFont="1" applyFill="1" applyAlignment="1">
      <alignment horizontal="right" vertical="center" indent="2"/>
    </xf>
    <xf numFmtId="1" fontId="14" fillId="0" borderId="0" xfId="2" applyFont="1" applyFill="1" applyAlignment="1">
      <alignment horizontal="center" vertical="top"/>
    </xf>
    <xf numFmtId="1" fontId="15" fillId="0" borderId="0" xfId="2" applyFont="1" applyFill="1" applyAlignment="1">
      <alignment horizontal="left" vertical="top"/>
    </xf>
  </cellXfs>
  <cellStyles count="6">
    <cellStyle name="Ay" xfId="3"/>
    <cellStyle name="Haftanın günü" xfId="4"/>
    <cellStyle name="Normal" xfId="0" builtinId="0"/>
    <cellStyle name="Normal 5" xfId="1"/>
    <cellStyle name="Tarih" xfId="5"/>
    <cellStyle name="Yıl" xfId="2"/>
  </cellStyles>
  <dxfs count="4"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Spin" dx="15" fmlaLink="$Z$2" max="9999" min="1900" page="10" val="202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400050</xdr:colOff>
      <xdr:row>0</xdr:row>
      <xdr:rowOff>28575</xdr:rowOff>
    </xdr:from>
    <xdr:to>
      <xdr:col>16</xdr:col>
      <xdr:colOff>85725</xdr:colOff>
      <xdr:row>3</xdr:row>
      <xdr:rowOff>85725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5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19050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37</xdr:col>
      <xdr:colOff>402416</xdr:colOff>
      <xdr:row>1</xdr:row>
      <xdr:rowOff>85186</xdr:rowOff>
    </xdr:from>
    <xdr:to>
      <xdr:col>41</xdr:col>
      <xdr:colOff>133349</xdr:colOff>
      <xdr:row>3</xdr:row>
      <xdr:rowOff>372013</xdr:rowOff>
    </xdr:to>
    <xdr:sp macro="" textlink="">
      <xdr:nvSpPr>
        <xdr:cNvPr id="16" name="Metin Kutusu 2"/>
        <xdr:cNvSpPr txBox="1"/>
      </xdr:nvSpPr>
      <xdr:spPr>
        <a:xfrm>
          <a:off x="9213041" y="370936"/>
          <a:ext cx="2169333" cy="858327"/>
        </a:xfrm>
        <a:prstGeom prst="roundRect">
          <a:avLst>
            <a:gd name="adj" fmla="val 14161"/>
          </a:avLst>
        </a:prstGeom>
        <a:solidFill>
          <a:schemeClr val="lt1"/>
        </a:solidFill>
        <a:ln w="9525" cmpd="sng">
          <a:solidFill>
            <a:schemeClr val="accent6">
              <a:lumMod val="75000"/>
              <a:alpha val="53000"/>
            </a:schemeClr>
          </a:solidFill>
        </a:ln>
        <a:effectLst>
          <a:innerShdw blurRad="279400">
            <a:schemeClr val="accent6">
              <a:alpha val="19000"/>
            </a:scheme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0" rIns="45720" rtlCol="0" anchor="ctr" anchorCtr="0"/>
        <a:lstStyle/>
        <a:p>
          <a:pPr rtl="0">
            <a:lnSpc>
              <a:spcPct val="80000"/>
            </a:lnSpc>
          </a:pPr>
          <a:r>
            <a:rPr lang="tr" sz="1100">
              <a:solidFill>
                <a:schemeClr val="accent6">
                  <a:lumMod val="75000"/>
                </a:schemeClr>
              </a:solidFill>
              <a:latin typeface="+mj-lt"/>
            </a:rPr>
            <a:t>Takviminiz için bir yıl seçmek üzere okları kullanın.</a:t>
          </a:r>
          <a:r>
            <a:rPr lang="tr" sz="1100" baseline="0">
              <a:solidFill>
                <a:schemeClr val="accent6">
                  <a:lumMod val="75000"/>
                </a:schemeClr>
              </a:solidFill>
              <a:latin typeface="+mj-lt"/>
            </a:rPr>
            <a:t> </a:t>
          </a:r>
        </a:p>
        <a:p>
          <a:pPr algn="l" rtl="0">
            <a:lnSpc>
              <a:spcPct val="80000"/>
            </a:lnSpc>
            <a:spcBef>
              <a:spcPts val="300"/>
            </a:spcBef>
          </a:pPr>
          <a:r>
            <a:rPr lang="tr" sz="900" i="1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Bu, yazdırılan takviminizde görünmez.</a:t>
          </a:r>
          <a:endParaRPr lang="en-US" sz="900" i="1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523875</xdr:colOff>
          <xdr:row>1</xdr:row>
          <xdr:rowOff>219075</xdr:rowOff>
        </xdr:from>
        <xdr:to>
          <xdr:col>38</xdr:col>
          <xdr:colOff>95250</xdr:colOff>
          <xdr:row>2</xdr:row>
          <xdr:rowOff>266700</xdr:rowOff>
        </xdr:to>
        <xdr:sp macro="" textlink="">
          <xdr:nvSpPr>
            <xdr:cNvPr id="5121" name="Değiştirici 2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absolute">
    <xdr:from>
      <xdr:col>2</xdr:col>
      <xdr:colOff>239713</xdr:colOff>
      <xdr:row>33</xdr:row>
      <xdr:rowOff>79373</xdr:rowOff>
    </xdr:from>
    <xdr:to>
      <xdr:col>34</xdr:col>
      <xdr:colOff>220663</xdr:colOff>
      <xdr:row>33</xdr:row>
      <xdr:rowOff>333373</xdr:rowOff>
    </xdr:to>
    <xdr:sp macro="" textlink="">
      <xdr:nvSpPr>
        <xdr:cNvPr id="18" name="Metin Kutusu 34"/>
        <xdr:cNvSpPr txBox="1"/>
      </xdr:nvSpPr>
      <xdr:spPr>
        <a:xfrm>
          <a:off x="811213" y="6842123"/>
          <a:ext cx="7505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 anchorCtr="0"/>
        <a:lstStyle/>
        <a:p>
          <a:pPr rtl="0">
            <a:lnSpc>
              <a:spcPct val="90000"/>
            </a:lnSpc>
          </a:pPr>
          <a:r>
            <a:rPr lang="tr-TR" sz="900" i="1" baseline="0">
              <a:solidFill>
                <a:srgbClr val="C00000"/>
              </a:solidFill>
              <a:latin typeface="+mn-lt"/>
            </a:rPr>
            <a:t>hukuk@marmara.edu.tr</a:t>
          </a:r>
          <a:endParaRPr lang="en-US" sz="900" i="1">
            <a:solidFill>
              <a:srgbClr val="C00000"/>
            </a:solidFill>
            <a:latin typeface="+mn-lt"/>
          </a:endParaRPr>
        </a:p>
      </xdr:txBody>
    </xdr:sp>
    <xdr:clientData/>
  </xdr:twoCellAnchor>
  <xdr:twoCellAnchor>
    <xdr:from>
      <xdr:col>37</xdr:col>
      <xdr:colOff>400049</xdr:colOff>
      <xdr:row>4</xdr:row>
      <xdr:rowOff>209550</xdr:rowOff>
    </xdr:from>
    <xdr:to>
      <xdr:col>41</xdr:col>
      <xdr:colOff>130982</xdr:colOff>
      <xdr:row>11</xdr:row>
      <xdr:rowOff>0</xdr:rowOff>
    </xdr:to>
    <xdr:sp macro="" textlink="">
      <xdr:nvSpPr>
        <xdr:cNvPr id="20" name="Metin Kutusu 24"/>
        <xdr:cNvSpPr txBox="1"/>
      </xdr:nvSpPr>
      <xdr:spPr>
        <a:xfrm>
          <a:off x="9210674" y="1457325"/>
          <a:ext cx="2169333" cy="1504950"/>
        </a:xfrm>
        <a:prstGeom prst="roundRect">
          <a:avLst>
            <a:gd name="adj" fmla="val 14161"/>
          </a:avLst>
        </a:prstGeom>
        <a:solidFill>
          <a:schemeClr val="lt1"/>
        </a:solidFill>
        <a:ln w="9525" cmpd="sng">
          <a:solidFill>
            <a:schemeClr val="accent6">
              <a:lumMod val="75000"/>
              <a:alpha val="53000"/>
            </a:schemeClr>
          </a:solidFill>
        </a:ln>
        <a:effectLst>
          <a:innerShdw blurRad="279400">
            <a:schemeClr val="accent6">
              <a:alpha val="19000"/>
            </a:scheme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rIns="45720" rtlCol="0" anchor="ctr" anchorCtr="0"/>
        <a:lstStyle/>
        <a:p>
          <a:pPr lvl="0" algn="l" rtl="0">
            <a:lnSpc>
              <a:spcPct val="80000"/>
            </a:lnSpc>
          </a:pPr>
          <a:r>
            <a:rPr lang="tr" sz="1100">
              <a:solidFill>
                <a:schemeClr val="accent6">
                  <a:lumMod val="75000"/>
                </a:schemeClr>
              </a:solidFill>
              <a:latin typeface="+mj-lt"/>
            </a:rPr>
            <a:t>Bu takvimin tüm yazıcılarda</a:t>
          </a:r>
          <a:r>
            <a:rPr lang="tr" sz="1100" baseline="0">
              <a:solidFill>
                <a:schemeClr val="accent6">
                  <a:lumMod val="75000"/>
                </a:schemeClr>
              </a:solidFill>
              <a:latin typeface="+mj-lt"/>
            </a:rPr>
            <a:t> düzgün yazdırılması için, Dosya - Seçenekler - Gelişmiş - Yazdırma altında “Grafikler için yüksek kaliteli mod” onay kutusunun seçilmiş olması gerekir</a:t>
          </a:r>
          <a:r>
            <a:t>.</a:t>
          </a:r>
        </a:p>
        <a:p>
          <a:pPr lvl="0" algn="l" rtl="0">
            <a:lnSpc>
              <a:spcPct val="80000"/>
            </a:lnSpc>
            <a:spcBef>
              <a:spcPts val="300"/>
            </a:spcBef>
          </a:pPr>
          <a:r>
            <a:rPr lang="tr" sz="900" i="1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Bu, yazdırılan takviminizde görünmez.</a:t>
          </a:r>
          <a:endParaRPr lang="en-US" sz="900" i="1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HAN\Documents\2.HUKUK%20FAK&#220;LTES&#304;\3.EVRAK\EXCEL\TAKV&#304;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ıllık"/>
      <sheetName val="2016"/>
      <sheetName val="Takvim (2)"/>
      <sheetName val="Takvim"/>
    </sheetNames>
    <sheetDataSet>
      <sheetData sheetId="0"/>
      <sheetData sheetId="1"/>
      <sheetData sheetId="2"/>
      <sheetData sheetId="3">
        <row r="2">
          <cell r="Z2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showGridLines="0" showZeros="0" view="pageBreakPreview" zoomScaleNormal="100" zoomScaleSheetLayoutView="100" workbookViewId="0">
      <pane ySplit="4" topLeftCell="A24" activePane="bottomLeft" state="frozenSplit"/>
      <selection pane="bottomLeft" activeCell="H18" sqref="H18"/>
    </sheetView>
  </sheetViews>
  <sheetFormatPr defaultRowHeight="12.75" x14ac:dyDescent="0.2"/>
  <cols>
    <col min="1" max="1" width="1.140625" style="2" customWidth="1"/>
    <col min="2" max="2" width="9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6" width="14.42578125" style="2" customWidth="1"/>
    <col min="17" max="17" width="2.140625" style="2" customWidth="1"/>
    <col min="18" max="18" width="0.5703125" style="2" customWidth="1"/>
    <col min="19" max="16384" width="9.140625" style="2"/>
  </cols>
  <sheetData>
    <row r="1" spans="1:18" ht="17.100000000000001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"/>
    </row>
    <row r="2" spans="1:18" ht="17.100000000000001" customHeight="1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"/>
    </row>
    <row r="3" spans="1:18" ht="14.1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</row>
    <row r="4" spans="1:18" ht="17.100000000000001" customHeight="1" x14ac:dyDescent="0.2">
      <c r="A4" s="108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"/>
    </row>
    <row r="5" spans="1:18" ht="17.100000000000001" customHeight="1" x14ac:dyDescent="0.2">
      <c r="A5" s="109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"/>
    </row>
    <row r="6" spans="1:18" ht="2.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</row>
    <row r="7" spans="1:18" ht="27" customHeight="1" x14ac:dyDescent="0.2">
      <c r="A7" s="99" t="s">
        <v>4</v>
      </c>
      <c r="B7" s="100"/>
      <c r="C7" s="100"/>
      <c r="D7" s="100"/>
      <c r="E7" s="4" t="s">
        <v>5</v>
      </c>
      <c r="F7" s="103"/>
      <c r="G7" s="103"/>
      <c r="H7" s="103"/>
      <c r="I7" s="103"/>
      <c r="J7" s="99" t="s">
        <v>6</v>
      </c>
      <c r="K7" s="100"/>
      <c r="L7" s="100"/>
      <c r="M7" s="100"/>
      <c r="N7" s="4" t="s">
        <v>5</v>
      </c>
      <c r="O7" s="103"/>
      <c r="P7" s="103"/>
      <c r="Q7" s="106"/>
      <c r="R7" s="1"/>
    </row>
    <row r="8" spans="1:18" ht="27.95" customHeight="1" x14ac:dyDescent="0.2">
      <c r="A8" s="99" t="s">
        <v>7</v>
      </c>
      <c r="B8" s="100"/>
      <c r="C8" s="100"/>
      <c r="D8" s="100"/>
      <c r="E8" s="4" t="s">
        <v>5</v>
      </c>
      <c r="F8" s="103"/>
      <c r="G8" s="103"/>
      <c r="H8" s="103"/>
      <c r="I8" s="103"/>
      <c r="J8" s="99" t="s">
        <v>8</v>
      </c>
      <c r="K8" s="100"/>
      <c r="L8" s="100"/>
      <c r="M8" s="100"/>
      <c r="N8" s="4" t="s">
        <v>5</v>
      </c>
      <c r="O8" s="103"/>
      <c r="P8" s="103"/>
      <c r="Q8" s="106"/>
      <c r="R8" s="1"/>
    </row>
    <row r="9" spans="1:18" ht="27.95" customHeight="1" x14ac:dyDescent="0.2">
      <c r="A9" s="99" t="s">
        <v>9</v>
      </c>
      <c r="B9" s="100"/>
      <c r="C9" s="100"/>
      <c r="D9" s="100"/>
      <c r="E9" s="4" t="s">
        <v>5</v>
      </c>
      <c r="F9" s="103">
        <v>10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6"/>
      <c r="R9" s="1"/>
    </row>
    <row r="10" spans="1:18" ht="27.95" customHeight="1" x14ac:dyDescent="0.2">
      <c r="A10" s="99" t="s">
        <v>11</v>
      </c>
      <c r="B10" s="100"/>
      <c r="C10" s="100"/>
      <c r="D10" s="100"/>
      <c r="E10" s="4" t="s">
        <v>5</v>
      </c>
      <c r="F10" s="101"/>
      <c r="G10" s="101"/>
      <c r="H10" s="101"/>
      <c r="I10" s="101"/>
      <c r="J10" s="99" t="s">
        <v>12</v>
      </c>
      <c r="K10" s="100"/>
      <c r="L10" s="100"/>
      <c r="M10" s="100"/>
      <c r="N10" s="4" t="s">
        <v>5</v>
      </c>
      <c r="O10" s="101"/>
      <c r="P10" s="101"/>
      <c r="Q10" s="102"/>
      <c r="R10" s="1"/>
    </row>
    <row r="11" spans="1:18" ht="51" customHeight="1" x14ac:dyDescent="0.2">
      <c r="A11" s="99" t="s">
        <v>13</v>
      </c>
      <c r="B11" s="100"/>
      <c r="C11" s="100"/>
      <c r="D11" s="100"/>
      <c r="E11" s="4" t="s">
        <v>5</v>
      </c>
      <c r="F11" s="103" t="s">
        <v>14</v>
      </c>
      <c r="G11" s="103"/>
      <c r="H11" s="103"/>
      <c r="I11" s="103"/>
      <c r="J11" s="99" t="s">
        <v>15</v>
      </c>
      <c r="K11" s="100"/>
      <c r="L11" s="100"/>
      <c r="M11" s="100"/>
      <c r="N11" s="4" t="s">
        <v>5</v>
      </c>
      <c r="O11" s="104" t="s">
        <v>10</v>
      </c>
      <c r="P11" s="104"/>
      <c r="Q11" s="105"/>
      <c r="R11" s="1"/>
    </row>
    <row r="12" spans="1:18" ht="5.0999999999999996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"/>
    </row>
    <row r="13" spans="1:18" ht="17.100000000000001" customHeight="1" x14ac:dyDescent="0.2">
      <c r="A13" s="10"/>
      <c r="B13" s="94" t="s">
        <v>31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1"/>
      <c r="R13" s="1"/>
    </row>
    <row r="14" spans="1:18" ht="17.100000000000001" customHeight="1" x14ac:dyDescent="0.2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1"/>
    </row>
    <row r="15" spans="1:18" ht="17.100000000000001" customHeight="1" x14ac:dyDescent="0.2">
      <c r="A15" s="10"/>
      <c r="B15" s="6"/>
      <c r="C15" s="6"/>
      <c r="D15" s="6"/>
      <c r="E15" s="6"/>
      <c r="F15" s="6"/>
      <c r="G15" s="6"/>
      <c r="H15" s="6"/>
      <c r="I15" s="6"/>
      <c r="J15" s="95" t="s">
        <v>16</v>
      </c>
      <c r="K15" s="95"/>
      <c r="L15" s="95"/>
      <c r="M15" s="95"/>
      <c r="N15" s="95"/>
      <c r="O15" s="95"/>
      <c r="P15" s="95"/>
      <c r="Q15" s="11"/>
      <c r="R15" s="1"/>
    </row>
    <row r="16" spans="1:18" ht="17.100000000000001" customHeight="1" x14ac:dyDescent="0.2">
      <c r="A16" s="10"/>
      <c r="B16" s="6"/>
      <c r="C16" s="6"/>
      <c r="D16" s="6"/>
      <c r="E16" s="6"/>
      <c r="F16" s="6"/>
      <c r="G16" s="6"/>
      <c r="H16" s="6"/>
      <c r="I16" s="6"/>
      <c r="J16" s="27" t="s">
        <v>17</v>
      </c>
      <c r="K16" s="5" t="s">
        <v>5</v>
      </c>
      <c r="L16" s="96"/>
      <c r="M16" s="96"/>
      <c r="N16" s="96"/>
      <c r="O16" s="96"/>
      <c r="P16" s="96"/>
      <c r="Q16" s="97"/>
      <c r="R16" s="1"/>
    </row>
    <row r="17" spans="1:18" ht="17.100000000000001" customHeight="1" x14ac:dyDescent="0.2">
      <c r="A17" s="10"/>
      <c r="B17" s="6"/>
      <c r="C17" s="6"/>
      <c r="D17" s="6"/>
      <c r="E17" s="6"/>
      <c r="F17" s="6"/>
      <c r="G17" s="6"/>
      <c r="H17" s="6"/>
      <c r="I17" s="6"/>
      <c r="J17" s="27" t="s">
        <v>18</v>
      </c>
      <c r="K17" s="5" t="s">
        <v>5</v>
      </c>
      <c r="L17" s="6"/>
      <c r="M17" s="6"/>
      <c r="N17" s="6"/>
      <c r="O17" s="6"/>
      <c r="P17" s="6"/>
      <c r="Q17" s="11"/>
      <c r="R17" s="1"/>
    </row>
    <row r="18" spans="1:18" ht="36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"/>
    </row>
    <row r="19" spans="1:18" ht="17.100000000000001" customHeight="1" x14ac:dyDescent="0.2">
      <c r="A19" s="94" t="s">
        <v>30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"/>
    </row>
    <row r="20" spans="1:18" ht="17.100000000000001" customHeight="1" x14ac:dyDescent="0.2">
      <c r="A20" s="98" t="s">
        <v>19</v>
      </c>
      <c r="B20" s="98"/>
      <c r="C20" s="98"/>
      <c r="D20" s="98"/>
      <c r="E20" s="98"/>
      <c r="F20" s="98"/>
      <c r="G20" s="98"/>
      <c r="H20" s="6"/>
      <c r="I20" s="98" t="s">
        <v>20</v>
      </c>
      <c r="J20" s="98"/>
      <c r="K20" s="98"/>
      <c r="L20" s="98"/>
      <c r="M20" s="6"/>
      <c r="N20" s="6"/>
      <c r="O20" s="6"/>
      <c r="P20" s="6"/>
      <c r="Q20" s="6"/>
      <c r="R20" s="1"/>
    </row>
    <row r="21" spans="1:18" ht="9.9499999999999993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</row>
    <row r="22" spans="1:18" ht="17.100000000000001" customHeight="1" x14ac:dyDescent="0.2">
      <c r="A22" s="91" t="s">
        <v>4</v>
      </c>
      <c r="B22" s="91"/>
      <c r="C22" s="27" t="s">
        <v>5</v>
      </c>
      <c r="D22" s="81"/>
      <c r="E22" s="81"/>
      <c r="F22" s="81"/>
      <c r="G22" s="81"/>
      <c r="H22" s="6"/>
      <c r="I22" s="91" t="s">
        <v>4</v>
      </c>
      <c r="J22" s="91"/>
      <c r="K22" s="27" t="s">
        <v>5</v>
      </c>
      <c r="L22" s="93"/>
      <c r="M22" s="93"/>
      <c r="N22" s="93"/>
      <c r="O22" s="93"/>
      <c r="P22" s="93"/>
      <c r="Q22" s="93"/>
      <c r="R22" s="1"/>
    </row>
    <row r="23" spans="1:18" ht="17.100000000000001" customHeight="1" x14ac:dyDescent="0.2">
      <c r="A23" s="91" t="s">
        <v>6</v>
      </c>
      <c r="B23" s="91"/>
      <c r="C23" s="27" t="s">
        <v>5</v>
      </c>
      <c r="D23" s="93"/>
      <c r="E23" s="81"/>
      <c r="F23" s="81"/>
      <c r="G23" s="81"/>
      <c r="H23" s="6"/>
      <c r="I23" s="91" t="s">
        <v>6</v>
      </c>
      <c r="J23" s="91"/>
      <c r="K23" s="27" t="s">
        <v>5</v>
      </c>
      <c r="L23" s="93"/>
      <c r="M23" s="81"/>
      <c r="N23" s="81"/>
      <c r="O23" s="81"/>
      <c r="P23" s="81"/>
      <c r="Q23" s="81"/>
      <c r="R23" s="1"/>
    </row>
    <row r="24" spans="1:18" ht="17.100000000000001" customHeight="1" x14ac:dyDescent="0.2">
      <c r="A24" s="91" t="s">
        <v>18</v>
      </c>
      <c r="B24" s="91"/>
      <c r="C24" s="27" t="s">
        <v>5</v>
      </c>
      <c r="D24" s="81" t="s">
        <v>10</v>
      </c>
      <c r="E24" s="81"/>
      <c r="F24" s="81"/>
      <c r="G24" s="81"/>
      <c r="H24" s="6"/>
      <c r="I24" s="91" t="s">
        <v>18</v>
      </c>
      <c r="J24" s="91"/>
      <c r="K24" s="27" t="s">
        <v>5</v>
      </c>
      <c r="L24" s="81" t="s">
        <v>10</v>
      </c>
      <c r="M24" s="81"/>
      <c r="N24" s="81"/>
      <c r="O24" s="81"/>
      <c r="P24" s="81"/>
      <c r="Q24" s="81"/>
      <c r="R24" s="1"/>
    </row>
    <row r="25" spans="1:18" ht="12.9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</row>
    <row r="26" spans="1:18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8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8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8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8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8" s="3" customFormat="1" x14ac:dyDescent="0.2">
      <c r="A32" s="16"/>
      <c r="B32" s="92" t="s">
        <v>23</v>
      </c>
      <c r="C32" s="92"/>
      <c r="D32" s="92"/>
      <c r="E32" s="92"/>
      <c r="F32" s="92"/>
      <c r="G32" s="92"/>
      <c r="H32" s="92"/>
      <c r="I32" s="92"/>
      <c r="J32" s="92"/>
      <c r="K32" s="92"/>
      <c r="L32" s="16"/>
      <c r="M32" s="16"/>
      <c r="N32" s="16"/>
      <c r="O32" s="16"/>
      <c r="P32" s="16"/>
      <c r="Q32" s="16"/>
    </row>
    <row r="33" spans="1:18" s="3" customFormat="1" ht="24.75" customHeight="1" x14ac:dyDescent="0.2">
      <c r="A33" s="16"/>
      <c r="B33" s="25" t="s">
        <v>29</v>
      </c>
      <c r="C33" s="88" t="s">
        <v>26</v>
      </c>
      <c r="D33" s="88"/>
      <c r="E33" s="88"/>
      <c r="F33" s="88"/>
      <c r="G33" s="26"/>
      <c r="H33" s="18" t="s">
        <v>24</v>
      </c>
      <c r="I33" s="89" t="s">
        <v>28</v>
      </c>
      <c r="J33" s="89"/>
      <c r="K33" s="89"/>
      <c r="L33" s="16"/>
      <c r="M33" s="16"/>
      <c r="N33" s="16"/>
      <c r="O33" s="16"/>
      <c r="P33" s="16"/>
      <c r="Q33" s="16"/>
    </row>
    <row r="34" spans="1:18" s="3" customFormat="1" ht="24.75" customHeight="1" x14ac:dyDescent="0.2">
      <c r="A34" s="16"/>
      <c r="B34" s="25" t="s">
        <v>29</v>
      </c>
      <c r="C34" s="88" t="s">
        <v>26</v>
      </c>
      <c r="D34" s="88"/>
      <c r="E34" s="88"/>
      <c r="F34" s="88"/>
      <c r="G34" s="26"/>
      <c r="H34" s="18" t="s">
        <v>24</v>
      </c>
      <c r="I34" s="89" t="s">
        <v>28</v>
      </c>
      <c r="J34" s="89"/>
      <c r="K34" s="89"/>
      <c r="L34" s="16"/>
      <c r="M34" s="16"/>
      <c r="N34" s="16"/>
      <c r="O34" s="16"/>
      <c r="P34" s="16"/>
      <c r="Q34" s="16"/>
    </row>
    <row r="35" spans="1:18" s="3" customFormat="1" ht="24.75" customHeight="1" x14ac:dyDescent="0.2">
      <c r="A35" s="16"/>
      <c r="B35" s="88" t="s">
        <v>25</v>
      </c>
      <c r="C35" s="88"/>
      <c r="D35" s="88"/>
      <c r="E35" s="88"/>
      <c r="F35" s="88"/>
      <c r="G35" s="17">
        <f>F9</f>
        <v>10</v>
      </c>
      <c r="H35" s="18" t="s">
        <v>27</v>
      </c>
      <c r="I35" s="90">
        <f>SUM(G33:G34)-G35</f>
        <v>-10</v>
      </c>
      <c r="J35" s="90"/>
      <c r="K35" s="90"/>
      <c r="L35" s="16"/>
      <c r="M35" s="16"/>
      <c r="N35" s="16"/>
      <c r="O35" s="16"/>
      <c r="P35" s="16"/>
      <c r="Q35" s="16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8" ht="17.100000000000001" customHeight="1" x14ac:dyDescent="0.2">
      <c r="A38" s="83" t="s">
        <v>21</v>
      </c>
      <c r="B38" s="84"/>
      <c r="C38" s="84"/>
      <c r="D38" s="84"/>
      <c r="E38" s="84"/>
      <c r="F38" s="84"/>
      <c r="G38" s="84"/>
      <c r="H38" s="85"/>
      <c r="I38" s="86" t="s">
        <v>22</v>
      </c>
      <c r="J38" s="87"/>
      <c r="K38" s="87"/>
      <c r="L38" s="87"/>
      <c r="M38" s="19"/>
      <c r="N38" s="19"/>
      <c r="O38" s="19"/>
      <c r="P38" s="19"/>
      <c r="Q38" s="20"/>
      <c r="R38" s="1"/>
    </row>
    <row r="39" spans="1:18" ht="9.9499999999999993" customHeight="1" x14ac:dyDescent="0.2">
      <c r="A39" s="21"/>
      <c r="B39" s="6"/>
      <c r="C39" s="6"/>
      <c r="D39" s="6"/>
      <c r="E39" s="6"/>
      <c r="F39" s="6"/>
      <c r="G39" s="6"/>
      <c r="H39" s="22"/>
      <c r="I39" s="21"/>
      <c r="J39" s="6"/>
      <c r="K39" s="6"/>
      <c r="L39" s="6"/>
      <c r="M39" s="6"/>
      <c r="N39" s="6"/>
      <c r="O39" s="6"/>
      <c r="P39" s="6"/>
      <c r="Q39" s="22"/>
      <c r="R39" s="1"/>
    </row>
    <row r="40" spans="1:18" ht="17.100000000000001" customHeight="1" x14ac:dyDescent="0.2">
      <c r="A40" s="79" t="s">
        <v>4</v>
      </c>
      <c r="B40" s="80"/>
      <c r="C40" s="28" t="s">
        <v>5</v>
      </c>
      <c r="D40" s="81"/>
      <c r="E40" s="81"/>
      <c r="F40" s="81"/>
      <c r="G40" s="81"/>
      <c r="H40" s="82"/>
      <c r="I40" s="79" t="s">
        <v>4</v>
      </c>
      <c r="J40" s="80"/>
      <c r="K40" s="28" t="s">
        <v>5</v>
      </c>
      <c r="L40" s="81"/>
      <c r="M40" s="81"/>
      <c r="N40" s="81"/>
      <c r="O40" s="81"/>
      <c r="P40" s="81"/>
      <c r="Q40" s="82"/>
      <c r="R40" s="1"/>
    </row>
    <row r="41" spans="1:18" ht="17.100000000000001" customHeight="1" x14ac:dyDescent="0.2">
      <c r="A41" s="79" t="s">
        <v>6</v>
      </c>
      <c r="B41" s="80"/>
      <c r="C41" s="28" t="s">
        <v>5</v>
      </c>
      <c r="D41" s="81"/>
      <c r="E41" s="81"/>
      <c r="F41" s="81"/>
      <c r="G41" s="81"/>
      <c r="H41" s="82"/>
      <c r="I41" s="79" t="s">
        <v>6</v>
      </c>
      <c r="J41" s="80"/>
      <c r="K41" s="28" t="s">
        <v>5</v>
      </c>
      <c r="L41" s="81"/>
      <c r="M41" s="81"/>
      <c r="N41" s="81"/>
      <c r="O41" s="81"/>
      <c r="P41" s="81"/>
      <c r="Q41" s="82"/>
      <c r="R41" s="1"/>
    </row>
    <row r="42" spans="1:18" ht="17.100000000000001" customHeight="1" x14ac:dyDescent="0.2">
      <c r="A42" s="79" t="s">
        <v>18</v>
      </c>
      <c r="B42" s="80"/>
      <c r="C42" s="28" t="s">
        <v>5</v>
      </c>
      <c r="D42" s="81" t="s">
        <v>10</v>
      </c>
      <c r="E42" s="81"/>
      <c r="F42" s="81"/>
      <c r="G42" s="81"/>
      <c r="H42" s="82"/>
      <c r="I42" s="79" t="s">
        <v>18</v>
      </c>
      <c r="J42" s="80"/>
      <c r="K42" s="28" t="s">
        <v>5</v>
      </c>
      <c r="L42" s="81" t="s">
        <v>10</v>
      </c>
      <c r="M42" s="81"/>
      <c r="N42" s="81"/>
      <c r="O42" s="81"/>
      <c r="P42" s="81"/>
      <c r="Q42" s="82"/>
      <c r="R42" s="1"/>
    </row>
    <row r="43" spans="1:18" ht="47.25" customHeight="1" x14ac:dyDescent="0.2">
      <c r="A43" s="23"/>
      <c r="B43" s="24"/>
      <c r="C43" s="24"/>
      <c r="D43" s="77"/>
      <c r="E43" s="77"/>
      <c r="F43" s="77"/>
      <c r="G43" s="77"/>
      <c r="H43" s="78"/>
      <c r="I43" s="23"/>
      <c r="J43" s="24"/>
      <c r="K43" s="24"/>
      <c r="L43" s="77"/>
      <c r="M43" s="77"/>
      <c r="N43" s="77"/>
      <c r="O43" s="77"/>
      <c r="P43" s="77"/>
      <c r="Q43" s="78"/>
    </row>
  </sheetData>
  <sheetProtection selectLockedCells="1"/>
  <mergeCells count="63">
    <mergeCell ref="A1:Q1"/>
    <mergeCell ref="A2:Q2"/>
    <mergeCell ref="A4:Q4"/>
    <mergeCell ref="A5:Q5"/>
    <mergeCell ref="A7:D7"/>
    <mergeCell ref="F7:I7"/>
    <mergeCell ref="J7:M7"/>
    <mergeCell ref="O7:Q7"/>
    <mergeCell ref="A8:D8"/>
    <mergeCell ref="F8:I8"/>
    <mergeCell ref="J8:M8"/>
    <mergeCell ref="O8:Q8"/>
    <mergeCell ref="A9:D9"/>
    <mergeCell ref="F9:Q9"/>
    <mergeCell ref="A10:D10"/>
    <mergeCell ref="F10:I10"/>
    <mergeCell ref="J10:M10"/>
    <mergeCell ref="O10:Q10"/>
    <mergeCell ref="A11:D11"/>
    <mergeCell ref="F11:I11"/>
    <mergeCell ref="J11:M11"/>
    <mergeCell ref="O11:Q11"/>
    <mergeCell ref="B13:P13"/>
    <mergeCell ref="J15:P15"/>
    <mergeCell ref="L16:Q16"/>
    <mergeCell ref="A19:Q19"/>
    <mergeCell ref="A20:G20"/>
    <mergeCell ref="I20:L20"/>
    <mergeCell ref="L22:Q22"/>
    <mergeCell ref="A23:B23"/>
    <mergeCell ref="D23:G23"/>
    <mergeCell ref="I23:J23"/>
    <mergeCell ref="L23:Q23"/>
    <mergeCell ref="A22:B22"/>
    <mergeCell ref="D22:G22"/>
    <mergeCell ref="I22:J22"/>
    <mergeCell ref="A24:B24"/>
    <mergeCell ref="D24:G24"/>
    <mergeCell ref="I24:J24"/>
    <mergeCell ref="L24:Q24"/>
    <mergeCell ref="B32:K32"/>
    <mergeCell ref="C34:F34"/>
    <mergeCell ref="I34:K34"/>
    <mergeCell ref="B35:F35"/>
    <mergeCell ref="I35:K35"/>
    <mergeCell ref="C33:F33"/>
    <mergeCell ref="I33:K33"/>
    <mergeCell ref="A38:H38"/>
    <mergeCell ref="I38:L38"/>
    <mergeCell ref="A40:B40"/>
    <mergeCell ref="D40:H40"/>
    <mergeCell ref="I40:J40"/>
    <mergeCell ref="L40:Q40"/>
    <mergeCell ref="D43:H43"/>
    <mergeCell ref="L43:Q43"/>
    <mergeCell ref="A41:B41"/>
    <mergeCell ref="D41:H41"/>
    <mergeCell ref="I41:J41"/>
    <mergeCell ref="L41:Q41"/>
    <mergeCell ref="A42:B42"/>
    <mergeCell ref="D42:H42"/>
    <mergeCell ref="I42:J42"/>
    <mergeCell ref="L42:Q42"/>
  </mergeCells>
  <dataValidations count="1">
    <dataValidation type="list" errorStyle="information" allowBlank="1" showInputMessage="1" showErrorMessage="1" sqref="I33:K34">
      <formula1>"Yıllık İzin,Mazeret İzni"</formula1>
    </dataValidation>
  </dataValidations>
  <printOptions horizontalCentered="1"/>
  <pageMargins left="0.39370078740157483" right="0.35433070866141736" top="0.39370078740157483" bottom="0.39370078740157483" header="0" footer="0"/>
  <pageSetup paperSize="9" orientation="portrait" blackAndWhite="1" r:id="rId1"/>
  <headerFooter alignWithMargins="0">
    <oddFooter>&amp;L&amp;"Arial,Kalın"&amp;8Not:&amp;"Arial,Normal"İmzaları Tamamlanan Formlar PBYS işlenecek ve kişi dosyasına kaldırılacak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showGridLines="0" showZeros="0" tabSelected="1" view="pageBreakPreview" zoomScaleNormal="100" zoomScaleSheetLayoutView="100" workbookViewId="0">
      <pane ySplit="4" topLeftCell="A5" activePane="bottomLeft" state="frozenSplit"/>
      <selection pane="bottomLeft" activeCell="L22" sqref="L22:Q22"/>
    </sheetView>
  </sheetViews>
  <sheetFormatPr defaultRowHeight="12.75" x14ac:dyDescent="0.2"/>
  <cols>
    <col min="1" max="1" width="1.140625" style="2" customWidth="1"/>
    <col min="2" max="2" width="9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5" width="25.5703125" style="2" customWidth="1"/>
    <col min="16" max="16" width="6.7109375" style="2" customWidth="1"/>
    <col min="17" max="17" width="2.140625" style="2" customWidth="1"/>
    <col min="18" max="18" width="0.5703125" style="2" customWidth="1"/>
    <col min="19" max="16384" width="9.140625" style="2"/>
  </cols>
  <sheetData>
    <row r="1" spans="1:18" ht="17.100000000000001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"/>
    </row>
    <row r="2" spans="1:18" ht="17.100000000000001" customHeight="1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"/>
    </row>
    <row r="3" spans="1:18" ht="14.1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"/>
    </row>
    <row r="4" spans="1:18" ht="17.100000000000001" customHeight="1" x14ac:dyDescent="0.2">
      <c r="A4" s="108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"/>
    </row>
    <row r="5" spans="1:18" ht="17.100000000000001" customHeight="1" x14ac:dyDescent="0.2">
      <c r="A5" s="109" t="s">
        <v>53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"/>
    </row>
    <row r="6" spans="1:18" ht="2.1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"/>
    </row>
    <row r="7" spans="1:18" ht="24" customHeight="1" x14ac:dyDescent="0.2">
      <c r="A7" s="99" t="s">
        <v>4</v>
      </c>
      <c r="B7" s="100"/>
      <c r="C7" s="100"/>
      <c r="D7" s="100"/>
      <c r="E7" s="4" t="s">
        <v>5</v>
      </c>
      <c r="F7" s="103"/>
      <c r="G7" s="103"/>
      <c r="H7" s="103"/>
      <c r="I7" s="103"/>
      <c r="J7" s="122" t="s">
        <v>54</v>
      </c>
      <c r="K7" s="100"/>
      <c r="L7" s="100"/>
      <c r="M7" s="100"/>
      <c r="N7" s="4" t="s">
        <v>5</v>
      </c>
      <c r="O7" s="103"/>
      <c r="P7" s="103"/>
      <c r="Q7" s="106"/>
      <c r="R7" s="1"/>
    </row>
    <row r="8" spans="1:18" ht="24" customHeight="1" x14ac:dyDescent="0.2">
      <c r="A8" s="99" t="s">
        <v>7</v>
      </c>
      <c r="B8" s="100"/>
      <c r="C8" s="100"/>
      <c r="D8" s="100"/>
      <c r="E8" s="4" t="s">
        <v>5</v>
      </c>
      <c r="F8" s="103"/>
      <c r="G8" s="103"/>
      <c r="H8" s="103"/>
      <c r="I8" s="103"/>
      <c r="J8" s="99" t="s">
        <v>8</v>
      </c>
      <c r="K8" s="100"/>
      <c r="L8" s="100"/>
      <c r="M8" s="100"/>
      <c r="N8" s="4" t="s">
        <v>5</v>
      </c>
      <c r="O8" s="103"/>
      <c r="P8" s="103"/>
      <c r="Q8" s="106"/>
      <c r="R8" s="1"/>
    </row>
    <row r="9" spans="1:18" ht="24" customHeight="1" x14ac:dyDescent="0.2">
      <c r="A9" s="99" t="s">
        <v>9</v>
      </c>
      <c r="B9" s="100"/>
      <c r="C9" s="100"/>
      <c r="D9" s="100"/>
      <c r="E9" s="4" t="s">
        <v>5</v>
      </c>
      <c r="F9" s="121"/>
      <c r="G9" s="121"/>
      <c r="H9" s="121"/>
      <c r="I9" s="121"/>
      <c r="J9" s="122" t="s">
        <v>32</v>
      </c>
      <c r="K9" s="100"/>
      <c r="L9" s="100"/>
      <c r="M9" s="100"/>
      <c r="N9" s="4" t="s">
        <v>5</v>
      </c>
      <c r="O9" s="121"/>
      <c r="P9" s="121"/>
      <c r="Q9" s="123"/>
      <c r="R9" s="1"/>
    </row>
    <row r="10" spans="1:18" ht="24" customHeight="1" x14ac:dyDescent="0.2">
      <c r="A10" s="99" t="s">
        <v>11</v>
      </c>
      <c r="B10" s="100"/>
      <c r="C10" s="100"/>
      <c r="D10" s="100"/>
      <c r="E10" s="4" t="s">
        <v>5</v>
      </c>
      <c r="F10" s="119"/>
      <c r="G10" s="119"/>
      <c r="H10" s="119"/>
      <c r="I10" s="119"/>
      <c r="J10" s="99" t="s">
        <v>12</v>
      </c>
      <c r="K10" s="100"/>
      <c r="L10" s="100"/>
      <c r="M10" s="100"/>
      <c r="N10" s="4" t="s">
        <v>5</v>
      </c>
      <c r="O10" s="119"/>
      <c r="P10" s="119"/>
      <c r="Q10" s="120"/>
      <c r="R10" s="1"/>
    </row>
    <row r="11" spans="1:18" ht="51" customHeight="1" x14ac:dyDescent="0.2">
      <c r="A11" s="99" t="s">
        <v>13</v>
      </c>
      <c r="B11" s="100"/>
      <c r="C11" s="100"/>
      <c r="D11" s="100"/>
      <c r="E11" s="4" t="s">
        <v>5</v>
      </c>
      <c r="F11" s="103" t="s">
        <v>14</v>
      </c>
      <c r="G11" s="103"/>
      <c r="H11" s="103"/>
      <c r="I11" s="103"/>
      <c r="J11" s="99" t="s">
        <v>15</v>
      </c>
      <c r="K11" s="100"/>
      <c r="L11" s="100"/>
      <c r="M11" s="100"/>
      <c r="N11" s="4" t="s">
        <v>5</v>
      </c>
      <c r="O11" s="104" t="s">
        <v>10</v>
      </c>
      <c r="P11" s="104"/>
      <c r="Q11" s="105"/>
      <c r="R11" s="1"/>
    </row>
    <row r="12" spans="1:18" ht="5.0999999999999996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"/>
    </row>
    <row r="13" spans="1:18" ht="17.100000000000001" customHeight="1" x14ac:dyDescent="0.2">
      <c r="A13" s="10"/>
      <c r="B13" s="94" t="s">
        <v>31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1"/>
      <c r="R13" s="1"/>
    </row>
    <row r="14" spans="1:18" ht="17.100000000000001" customHeight="1" x14ac:dyDescent="0.2">
      <c r="A14" s="10"/>
      <c r="B14" s="36"/>
      <c r="C14" s="36"/>
      <c r="D14" s="36"/>
      <c r="E14" s="36"/>
      <c r="F14" s="36"/>
      <c r="G14" s="36"/>
      <c r="H14" s="36"/>
      <c r="I14" s="36"/>
      <c r="J14" s="95" t="s">
        <v>16</v>
      </c>
      <c r="K14" s="95"/>
      <c r="L14" s="95"/>
      <c r="M14" s="95"/>
      <c r="N14" s="95"/>
      <c r="O14" s="95"/>
      <c r="P14" s="95"/>
      <c r="Q14" s="11"/>
      <c r="R14" s="1"/>
    </row>
    <row r="15" spans="1:18" ht="17.100000000000001" customHeight="1" x14ac:dyDescent="0.2">
      <c r="A15" s="10"/>
      <c r="B15" s="36"/>
      <c r="C15" s="36"/>
      <c r="D15" s="36"/>
      <c r="E15" s="36"/>
      <c r="F15" s="36"/>
      <c r="G15" s="36"/>
      <c r="H15" s="36"/>
      <c r="I15" s="36"/>
      <c r="J15" s="35" t="s">
        <v>17</v>
      </c>
      <c r="K15" s="5" t="s">
        <v>5</v>
      </c>
      <c r="L15" s="96"/>
      <c r="M15" s="96"/>
      <c r="N15" s="96"/>
      <c r="O15" s="96"/>
      <c r="P15" s="96"/>
      <c r="Q15" s="97"/>
      <c r="R15" s="1"/>
    </row>
    <row r="16" spans="1:18" ht="17.100000000000001" customHeight="1" x14ac:dyDescent="0.2">
      <c r="A16" s="10"/>
      <c r="B16" s="36"/>
      <c r="C16" s="36"/>
      <c r="D16" s="36"/>
      <c r="E16" s="36"/>
      <c r="F16" s="36"/>
      <c r="G16" s="36"/>
      <c r="H16" s="36"/>
      <c r="I16" s="36"/>
      <c r="J16" s="35" t="s">
        <v>18</v>
      </c>
      <c r="K16" s="5" t="s">
        <v>5</v>
      </c>
      <c r="L16" s="36"/>
      <c r="M16" s="36"/>
      <c r="N16" s="36"/>
      <c r="O16" s="36"/>
      <c r="P16" s="36"/>
      <c r="Q16" s="11"/>
      <c r="R16" s="1"/>
    </row>
    <row r="17" spans="1:18" ht="48.7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"/>
    </row>
    <row r="18" spans="1:18" ht="17.100000000000001" customHeight="1" x14ac:dyDescent="0.2">
      <c r="A18" s="115" t="s">
        <v>30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1"/>
    </row>
    <row r="19" spans="1:18" ht="17.100000000000001" customHeight="1" x14ac:dyDescent="0.2">
      <c r="A19" s="118" t="s">
        <v>52</v>
      </c>
      <c r="B19" s="98"/>
      <c r="C19" s="98"/>
      <c r="D19" s="98"/>
      <c r="E19" s="98"/>
      <c r="F19" s="98"/>
      <c r="G19" s="98"/>
      <c r="H19" s="36"/>
      <c r="I19" s="98" t="s">
        <v>20</v>
      </c>
      <c r="J19" s="98"/>
      <c r="K19" s="98"/>
      <c r="L19" s="98"/>
      <c r="M19" s="36"/>
      <c r="N19" s="36"/>
      <c r="O19" s="36"/>
      <c r="P19" s="36"/>
      <c r="Q19" s="11"/>
      <c r="R19" s="1"/>
    </row>
    <row r="20" spans="1:18" ht="9.9499999999999993" customHeight="1" x14ac:dyDescent="0.2">
      <c r="A20" s="1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1"/>
      <c r="R20" s="1"/>
    </row>
    <row r="21" spans="1:18" ht="17.100000000000001" customHeight="1" x14ac:dyDescent="0.2">
      <c r="A21" s="112" t="s">
        <v>4</v>
      </c>
      <c r="B21" s="91"/>
      <c r="C21" s="35" t="s">
        <v>5</v>
      </c>
      <c r="D21" s="81"/>
      <c r="E21" s="81"/>
      <c r="F21" s="81"/>
      <c r="G21" s="81"/>
      <c r="H21" s="36"/>
      <c r="I21" s="91" t="s">
        <v>4</v>
      </c>
      <c r="J21" s="91"/>
      <c r="K21" s="35" t="s">
        <v>5</v>
      </c>
      <c r="L21" s="81"/>
      <c r="M21" s="93"/>
      <c r="N21" s="93"/>
      <c r="O21" s="93"/>
      <c r="P21" s="93"/>
      <c r="Q21" s="114"/>
      <c r="R21" s="1"/>
    </row>
    <row r="22" spans="1:18" ht="17.100000000000001" customHeight="1" x14ac:dyDescent="0.2">
      <c r="A22" s="112" t="s">
        <v>6</v>
      </c>
      <c r="B22" s="91"/>
      <c r="C22" s="35" t="s">
        <v>5</v>
      </c>
      <c r="D22" s="93"/>
      <c r="E22" s="81"/>
      <c r="F22" s="81"/>
      <c r="G22" s="81"/>
      <c r="H22" s="36"/>
      <c r="I22" s="91" t="s">
        <v>6</v>
      </c>
      <c r="J22" s="91"/>
      <c r="K22" s="35" t="s">
        <v>5</v>
      </c>
      <c r="L22" s="81"/>
      <c r="M22" s="81"/>
      <c r="N22" s="81"/>
      <c r="O22" s="81"/>
      <c r="P22" s="81"/>
      <c r="Q22" s="113"/>
      <c r="R22" s="1"/>
    </row>
    <row r="23" spans="1:18" ht="17.100000000000001" customHeight="1" x14ac:dyDescent="0.2">
      <c r="A23" s="112" t="s">
        <v>18</v>
      </c>
      <c r="B23" s="91"/>
      <c r="C23" s="35" t="s">
        <v>5</v>
      </c>
      <c r="D23" s="81" t="s">
        <v>10</v>
      </c>
      <c r="E23" s="81"/>
      <c r="F23" s="81"/>
      <c r="G23" s="81"/>
      <c r="H23" s="36"/>
      <c r="I23" s="91" t="s">
        <v>18</v>
      </c>
      <c r="J23" s="91"/>
      <c r="K23" s="35" t="s">
        <v>5</v>
      </c>
      <c r="L23" s="81" t="s">
        <v>10</v>
      </c>
      <c r="M23" s="81"/>
      <c r="N23" s="81"/>
      <c r="O23" s="81"/>
      <c r="P23" s="81"/>
      <c r="Q23" s="113"/>
      <c r="R23" s="1"/>
    </row>
    <row r="24" spans="1:18" ht="12.95" customHeight="1" x14ac:dyDescent="0.2">
      <c r="A24" s="1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1"/>
      <c r="R24" s="1"/>
    </row>
    <row r="25" spans="1:18" ht="12.95" customHeight="1" x14ac:dyDescent="0.2">
      <c r="A25" s="1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1"/>
      <c r="R25" s="1"/>
    </row>
    <row r="26" spans="1:18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8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</sheetData>
  <sheetProtection selectLockedCells="1"/>
  <mergeCells count="42">
    <mergeCell ref="A1:Q1"/>
    <mergeCell ref="A2:Q2"/>
    <mergeCell ref="A4:Q4"/>
    <mergeCell ref="A5:Q5"/>
    <mergeCell ref="A7:D7"/>
    <mergeCell ref="F7:I7"/>
    <mergeCell ref="J7:M7"/>
    <mergeCell ref="O7:Q7"/>
    <mergeCell ref="A8:D8"/>
    <mergeCell ref="F8:I8"/>
    <mergeCell ref="J8:M8"/>
    <mergeCell ref="O8:Q8"/>
    <mergeCell ref="A9:D9"/>
    <mergeCell ref="F9:I9"/>
    <mergeCell ref="J9:M9"/>
    <mergeCell ref="O9:Q9"/>
    <mergeCell ref="A10:D10"/>
    <mergeCell ref="F10:I10"/>
    <mergeCell ref="J10:M10"/>
    <mergeCell ref="O10:Q10"/>
    <mergeCell ref="A11:D11"/>
    <mergeCell ref="F11:I11"/>
    <mergeCell ref="J11:M11"/>
    <mergeCell ref="O11:Q11"/>
    <mergeCell ref="B13:P13"/>
    <mergeCell ref="J14:P14"/>
    <mergeCell ref="L15:Q15"/>
    <mergeCell ref="A18:Q18"/>
    <mergeCell ref="A19:G19"/>
    <mergeCell ref="I19:L19"/>
    <mergeCell ref="A23:B23"/>
    <mergeCell ref="D23:G23"/>
    <mergeCell ref="I23:J23"/>
    <mergeCell ref="L23:Q23"/>
    <mergeCell ref="A21:B21"/>
    <mergeCell ref="D21:G21"/>
    <mergeCell ref="I21:J21"/>
    <mergeCell ref="L21:Q21"/>
    <mergeCell ref="A22:B22"/>
    <mergeCell ref="D22:G22"/>
    <mergeCell ref="I22:J22"/>
    <mergeCell ref="L22:Q22"/>
  </mergeCells>
  <printOptions horizontalCentered="1"/>
  <pageMargins left="0.39370078740157483" right="0.35433070866141736" top="0.39370078740157483" bottom="0.19685039370078741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52"/>
  <sheetViews>
    <sheetView showGridLines="0" view="pageBreakPreview" zoomScaleNormal="100" zoomScaleSheetLayoutView="100" workbookViewId="0">
      <selection activeCell="Z2" sqref="Z2:AI4"/>
    </sheetView>
  </sheetViews>
  <sheetFormatPr defaultRowHeight="12.75" x14ac:dyDescent="0.2"/>
  <cols>
    <col min="1" max="1" width="4.85546875" style="37" customWidth="1"/>
    <col min="2" max="3" width="3.7109375" style="37" customWidth="1"/>
    <col min="4" max="8" width="3.28515625" style="37" customWidth="1"/>
    <col min="9" max="10" width="3.28515625" style="38" customWidth="1"/>
    <col min="11" max="11" width="5.7109375" style="37" customWidth="1"/>
    <col min="12" max="16" width="3.28515625" style="37" customWidth="1"/>
    <col min="17" max="18" width="3.28515625" style="38" customWidth="1"/>
    <col min="19" max="19" width="5.7109375" style="37" customWidth="1"/>
    <col min="20" max="24" width="3.28515625" style="37" customWidth="1"/>
    <col min="25" max="26" width="3.28515625" style="38" customWidth="1"/>
    <col min="27" max="27" width="5.7109375" style="37" customWidth="1"/>
    <col min="28" max="32" width="3.28515625" style="37" customWidth="1"/>
    <col min="33" max="34" width="3.28515625" style="38" customWidth="1"/>
    <col min="35" max="36" width="3.7109375" style="37" customWidth="1"/>
    <col min="37" max="37" width="3.28515625" style="37" customWidth="1"/>
    <col min="38" max="47" width="9.140625" style="37"/>
    <col min="48" max="48" width="20.5703125" style="37" bestFit="1" customWidth="1"/>
    <col min="49" max="16384" width="9.140625" style="37"/>
  </cols>
  <sheetData>
    <row r="1" spans="1:74" ht="22.5" customHeight="1" x14ac:dyDescent="0.2"/>
    <row r="2" spans="1:74" ht="18.75" customHeight="1" x14ac:dyDescent="0.2"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6">
        <v>2021</v>
      </c>
      <c r="AA2" s="126"/>
      <c r="AB2" s="126"/>
      <c r="AC2" s="126"/>
      <c r="AD2" s="126"/>
      <c r="AE2" s="126"/>
      <c r="AF2" s="126"/>
      <c r="AG2" s="126"/>
      <c r="AH2" s="126"/>
      <c r="AI2" s="126"/>
      <c r="AJ2" s="127"/>
    </row>
    <row r="3" spans="1:74" ht="26.25" customHeight="1" x14ac:dyDescent="0.3">
      <c r="B3" s="127"/>
      <c r="C3" s="127"/>
      <c r="D3" s="127"/>
      <c r="E3" s="127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7"/>
      <c r="AP3" s="39"/>
      <c r="AQ3" s="39"/>
      <c r="AR3" s="39"/>
      <c r="AS3" s="39"/>
      <c r="AT3" s="40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</row>
    <row r="4" spans="1:74" ht="30.75" customHeight="1" x14ac:dyDescent="0.2">
      <c r="B4" s="127"/>
      <c r="C4" s="127"/>
      <c r="D4" s="127"/>
      <c r="E4" s="127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7"/>
      <c r="AL4" s="41"/>
      <c r="AM4" s="42"/>
      <c r="AN4" s="42"/>
      <c r="AO4" s="42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</row>
    <row r="5" spans="1:74" s="43" customFormat="1" ht="58.5" customHeight="1" x14ac:dyDescent="0.3">
      <c r="D5" s="125" t="s">
        <v>33</v>
      </c>
      <c r="E5" s="125"/>
      <c r="F5" s="125"/>
      <c r="G5" s="125"/>
      <c r="H5" s="125"/>
      <c r="I5" s="125"/>
      <c r="J5" s="125"/>
      <c r="K5" s="44"/>
      <c r="L5" s="125" t="s">
        <v>34</v>
      </c>
      <c r="M5" s="125"/>
      <c r="N5" s="125"/>
      <c r="O5" s="125"/>
      <c r="P5" s="125"/>
      <c r="Q5" s="125"/>
      <c r="R5" s="125"/>
      <c r="S5" s="44"/>
      <c r="T5" s="125" t="s">
        <v>35</v>
      </c>
      <c r="U5" s="125"/>
      <c r="V5" s="125"/>
      <c r="W5" s="125"/>
      <c r="X5" s="125"/>
      <c r="Y5" s="125"/>
      <c r="Z5" s="125"/>
      <c r="AA5" s="44"/>
      <c r="AB5" s="125" t="s">
        <v>36</v>
      </c>
      <c r="AC5" s="125"/>
      <c r="AD5" s="125"/>
      <c r="AE5" s="125"/>
      <c r="AF5" s="125"/>
      <c r="AG5" s="125"/>
      <c r="AH5" s="125"/>
      <c r="AM5" s="45"/>
      <c r="AN5" s="45"/>
      <c r="AO5" s="45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</row>
    <row r="6" spans="1:74" ht="12.75" customHeight="1" x14ac:dyDescent="0.2">
      <c r="C6" s="46"/>
      <c r="D6" s="47" t="s">
        <v>37</v>
      </c>
      <c r="E6" s="47" t="s">
        <v>38</v>
      </c>
      <c r="F6" s="47" t="s">
        <v>39</v>
      </c>
      <c r="G6" s="47" t="s">
        <v>40</v>
      </c>
      <c r="H6" s="47" t="s">
        <v>41</v>
      </c>
      <c r="I6" s="47" t="s">
        <v>42</v>
      </c>
      <c r="J6" s="47" t="s">
        <v>43</v>
      </c>
      <c r="K6" s="48"/>
      <c r="L6" s="47" t="s">
        <v>37</v>
      </c>
      <c r="M6" s="47" t="s">
        <v>38</v>
      </c>
      <c r="N6" s="47" t="s">
        <v>39</v>
      </c>
      <c r="O6" s="47" t="s">
        <v>40</v>
      </c>
      <c r="P6" s="47" t="s">
        <v>41</v>
      </c>
      <c r="Q6" s="47" t="s">
        <v>42</v>
      </c>
      <c r="R6" s="47" t="s">
        <v>43</v>
      </c>
      <c r="S6" s="48"/>
      <c r="T6" s="47" t="s">
        <v>37</v>
      </c>
      <c r="U6" s="47" t="s">
        <v>38</v>
      </c>
      <c r="V6" s="47" t="s">
        <v>39</v>
      </c>
      <c r="W6" s="47" t="s">
        <v>40</v>
      </c>
      <c r="X6" s="47" t="s">
        <v>41</v>
      </c>
      <c r="Y6" s="47" t="s">
        <v>42</v>
      </c>
      <c r="Z6" s="47" t="s">
        <v>43</v>
      </c>
      <c r="AA6" s="48"/>
      <c r="AB6" s="47" t="s">
        <v>37</v>
      </c>
      <c r="AC6" s="47" t="s">
        <v>38</v>
      </c>
      <c r="AD6" s="47" t="s">
        <v>39</v>
      </c>
      <c r="AE6" s="47" t="s">
        <v>40</v>
      </c>
      <c r="AF6" s="47" t="s">
        <v>41</v>
      </c>
      <c r="AG6" s="47" t="s">
        <v>42</v>
      </c>
      <c r="AH6" s="47" t="s">
        <v>43</v>
      </c>
    </row>
    <row r="7" spans="1:74" ht="12.95" customHeight="1" x14ac:dyDescent="0.2">
      <c r="D7" s="49" t="str">
        <f>IF(AND(YEAR(OcaPaz1)=Yıl,MONTH(OcaPaz1)=1),OcaPaz1, "")</f>
        <v/>
      </c>
      <c r="E7" s="50" t="str">
        <f>IF(AND(YEAR(OcaPaz1+1)=Yıl,MONTH(OcaPaz1+1)=1),OcaPaz1+1, "")</f>
        <v/>
      </c>
      <c r="F7" s="50" t="str">
        <f>IF(AND(YEAR(OcaPaz1+2)=Yıl,MONTH(OcaPaz1+2)=1),OcaPaz1+2, "")</f>
        <v/>
      </c>
      <c r="G7" s="50" t="str">
        <f>IF(AND(YEAR(OcaPaz1+3)=Yıl,MONTH(OcaPaz1+3)=1),OcaPaz1+3, "")</f>
        <v/>
      </c>
      <c r="H7" s="50">
        <f>IF(AND(YEAR(OcaPaz1+4)=Yıl,MONTH(OcaPaz1+4)=1),OcaPaz1+4, "")</f>
        <v>44197</v>
      </c>
      <c r="I7" s="51">
        <f>IF(AND(YEAR(OcaPaz1+5)=Yıl,MONTH(OcaPaz1+5)=1),OcaPaz1+5, "")</f>
        <v>44198</v>
      </c>
      <c r="J7" s="52">
        <f>IF(AND(YEAR(OcaPaz1+6)=Yıl,MONTH(OcaPaz1+6)=1),OcaPaz1+6, "")</f>
        <v>44199</v>
      </c>
      <c r="K7" s="53"/>
      <c r="L7" s="49">
        <f>IF(AND(YEAR(ŞubPaz1)=Yıl,MONTH(ŞubPaz1)=2),ŞubPaz1, "")</f>
        <v>44228</v>
      </c>
      <c r="M7" s="50">
        <f>IF(AND(YEAR(ŞubPaz1+1)=Yıl,MONTH(ŞubPaz1+1)=2),ŞubPaz1+1, "")</f>
        <v>44229</v>
      </c>
      <c r="N7" s="50">
        <f>IF(AND(YEAR(ŞubPaz1+2)=Yıl,MONTH(ŞubPaz1+2)=2),ŞubPaz1+2, "")</f>
        <v>44230</v>
      </c>
      <c r="O7" s="50">
        <f>IF(AND(YEAR(ŞubPaz1+3)=Yıl,MONTH(ŞubPaz1+3)=2),ŞubPaz1+3, "")</f>
        <v>44231</v>
      </c>
      <c r="P7" s="50">
        <f>IF(AND(YEAR(ŞubPaz1+4)=Yıl,MONTH(ŞubPaz1+4)=2),ŞubPaz1+4, "")</f>
        <v>44232</v>
      </c>
      <c r="Q7" s="51">
        <f>IF(AND(YEAR(ŞubPaz1+5)=Yıl,MONTH(ŞubPaz1+5)=2),ŞubPaz1+5, "")</f>
        <v>44233</v>
      </c>
      <c r="R7" s="52">
        <f>IF(AND(YEAR(ŞubPaz1+6)=Yıl,MONTH(ŞubPaz1+6)=2),ŞubPaz1+6, "")</f>
        <v>44234</v>
      </c>
      <c r="S7" s="53"/>
      <c r="T7" s="49">
        <f>IF(AND(YEAR(MarPaz1)=Yıl,MONTH(MarPaz1)=3),MarPaz1, "")</f>
        <v>44256</v>
      </c>
      <c r="U7" s="50">
        <f>IF(AND(YEAR(MarPaz1+1)=Yıl,MONTH(MarPaz1+1)=3),MarPaz1+1, "")</f>
        <v>44257</v>
      </c>
      <c r="V7" s="50">
        <f>IF(AND(YEAR(MarPaz1+2)=Yıl,MONTH(MarPaz1+2)=3),MarPaz1+2, "")</f>
        <v>44258</v>
      </c>
      <c r="W7" s="50">
        <f>IF(AND(YEAR(MarPaz1+3)=Yıl,MONTH(MarPaz1+3)=3),MarPaz1+3, "")</f>
        <v>44259</v>
      </c>
      <c r="X7" s="50">
        <f>IF(AND(YEAR(MarPaz1+4)=Yıl,MONTH(MarPaz1+4)=3),MarPaz1+4, "")</f>
        <v>44260</v>
      </c>
      <c r="Y7" s="51">
        <f>IF(AND(YEAR(MarPaz1+5)=Yıl,MONTH(MarPaz1+5)=3),MarPaz1+5, "")</f>
        <v>44261</v>
      </c>
      <c r="Z7" s="52">
        <f>IF(AND(YEAR(MarPaz1+6)=Yıl,MONTH(MarPaz1+6)=3),MarPaz1+6, "")</f>
        <v>44262</v>
      </c>
      <c r="AA7" s="53"/>
      <c r="AB7" s="49" t="str">
        <f>IF(AND(YEAR(NisPaz1)=Yıl,MONTH(NisPaz1)=4),NisPaz1, "")</f>
        <v/>
      </c>
      <c r="AC7" s="50" t="str">
        <f>IF(AND(YEAR(NisPaz1+1)=Yıl,MONTH(NisPaz1+1)=4),NisPaz1+1, "")</f>
        <v/>
      </c>
      <c r="AD7" s="50" t="str">
        <f>IF(AND(YEAR(NisPaz1+2)=Yıl,MONTH(NisPaz1+2)=4),NisPaz1+2, "")</f>
        <v/>
      </c>
      <c r="AE7" s="50">
        <f>IF(AND(YEAR(NisPaz1+3)=Yıl,MONTH(NisPaz1+3)=4),NisPaz1+3, "")</f>
        <v>44287</v>
      </c>
      <c r="AF7" s="50">
        <f>IF(AND(YEAR(NisPaz1+4)=Yıl,MONTH(NisPaz1+4)=4),NisPaz1+4, "")</f>
        <v>44288</v>
      </c>
      <c r="AG7" s="51">
        <f>IF(AND(YEAR(NisPaz1+5)=Yıl,MONTH(NisPaz1+5)=4),NisPaz1+5, "")</f>
        <v>44289</v>
      </c>
      <c r="AH7" s="52">
        <f>IF(AND(YEAR(NisPaz1+6)=Yıl,MONTH(NisPaz1+6)=4),NisPaz1+6, "")</f>
        <v>44290</v>
      </c>
    </row>
    <row r="8" spans="1:74" ht="12.95" customHeight="1" x14ac:dyDescent="0.2">
      <c r="A8" s="54"/>
      <c r="D8" s="55">
        <f>IF(AND(YEAR(OcaPaz1+7)=Yıl,MONTH(OcaPaz1+7)=1),OcaPaz1+7, "")</f>
        <v>44200</v>
      </c>
      <c r="E8" s="56">
        <f>IF(AND(YEAR(OcaPaz1+8)=Yıl,MONTH(OcaPaz1+8)=1),OcaPaz1+8, "")</f>
        <v>44201</v>
      </c>
      <c r="F8" s="56">
        <f>IF(AND(YEAR(OcaPaz1+9)=Yıl,MONTH(OcaPaz1+9)=1),OcaPaz1+9, "")</f>
        <v>44202</v>
      </c>
      <c r="G8" s="56">
        <f>IF(AND(YEAR(OcaPaz1+10)=Yıl,MONTH(OcaPaz1+10)=1),OcaPaz1+10, "")</f>
        <v>44203</v>
      </c>
      <c r="H8" s="56">
        <f>IF(AND(YEAR(OcaPaz1+11)=Yıl,MONTH(OcaPaz1+11)=1),OcaPaz1+11, "")</f>
        <v>44204</v>
      </c>
      <c r="I8" s="57">
        <f>IF(AND(YEAR(OcaPaz1+12)=Yıl,MONTH(OcaPaz1+12)=1),OcaPaz1+12, "")</f>
        <v>44205</v>
      </c>
      <c r="J8" s="58">
        <f>IF(AND(YEAR(OcaPaz1+13)=Yıl,MONTH(OcaPaz1+13)=1),OcaPaz1+13, "")</f>
        <v>44206</v>
      </c>
      <c r="K8" s="53"/>
      <c r="L8" s="55">
        <f>IF(AND(YEAR(ŞubPaz1+7)=Yıl,MONTH(ŞubPaz1+7)=2),ŞubPaz1+7, "")</f>
        <v>44235</v>
      </c>
      <c r="M8" s="56">
        <f>IF(AND(YEAR(ŞubPaz1+8)=Yıl,MONTH(ŞubPaz1+8)=2),ŞubPaz1+8, "")</f>
        <v>44236</v>
      </c>
      <c r="N8" s="56">
        <f>IF(AND(YEAR(ŞubPaz1+9)=Yıl,MONTH(ŞubPaz1+9)=2),ŞubPaz1+9, "")</f>
        <v>44237</v>
      </c>
      <c r="O8" s="56">
        <f>IF(AND(YEAR(ŞubPaz1+10)=Yıl,MONTH(ŞubPaz1+10)=2),ŞubPaz1+10, "")</f>
        <v>44238</v>
      </c>
      <c r="P8" s="56">
        <f>IF(AND(YEAR(ŞubPaz1+11)=Yıl,MONTH(ŞubPaz1+11)=2),ŞubPaz1+11, "")</f>
        <v>44239</v>
      </c>
      <c r="Q8" s="57">
        <f>IF(AND(YEAR(ŞubPaz1+12)=Yıl,MONTH(ŞubPaz1+12)=2),ŞubPaz1+12, "")</f>
        <v>44240</v>
      </c>
      <c r="R8" s="58">
        <f>IF(AND(YEAR(ŞubPaz1+13)=Yıl,MONTH(ŞubPaz1+13)=2),ŞubPaz1+13, "")</f>
        <v>44241</v>
      </c>
      <c r="S8" s="53"/>
      <c r="T8" s="55">
        <f>IF(AND(YEAR(MarPaz1+7)=Yıl,MONTH(MarPaz1+7)=3),MarPaz1+7, "")</f>
        <v>44263</v>
      </c>
      <c r="U8" s="56">
        <f>IF(AND(YEAR(MarPaz1+8)=Yıl,MONTH(MarPaz1+8)=3),MarPaz1+8, "")</f>
        <v>44264</v>
      </c>
      <c r="V8" s="56">
        <f>IF(AND(YEAR(MarPaz1+9)=Yıl,MONTH(MarPaz1+9)=3),MarPaz1+9, "")</f>
        <v>44265</v>
      </c>
      <c r="W8" s="56">
        <f>IF(AND(YEAR(MarPaz1+10)=Yıl,MONTH(MarPaz1+10)=3),MarPaz1+10, "")</f>
        <v>44266</v>
      </c>
      <c r="X8" s="56">
        <f>IF(AND(YEAR(MarPaz1+11)=Yıl,MONTH(MarPaz1+11)=3),MarPaz1+11, "")</f>
        <v>44267</v>
      </c>
      <c r="Y8" s="57">
        <f>IF(AND(YEAR(MarPaz1+12)=Yıl,MONTH(MarPaz1+12)=3),MarPaz1+12, "")</f>
        <v>44268</v>
      </c>
      <c r="Z8" s="58">
        <f>IF(AND(YEAR(MarPaz1+13)=Yıl,MONTH(MarPaz1+13)=3),MarPaz1+13, "")</f>
        <v>44269</v>
      </c>
      <c r="AA8" s="53"/>
      <c r="AB8" s="55">
        <f>IF(AND(YEAR(NisPaz1+7)=Yıl,MONTH(NisPaz1+7)=4),NisPaz1+7, "")</f>
        <v>44291</v>
      </c>
      <c r="AC8" s="56">
        <f>IF(AND(YEAR(NisPaz1+8)=Yıl,MONTH(NisPaz1+8)=4),NisPaz1+8, "")</f>
        <v>44292</v>
      </c>
      <c r="AD8" s="56">
        <f>IF(AND(YEAR(NisPaz1+9)=Yıl,MONTH(NisPaz1+9)=4),NisPaz1+9, "")</f>
        <v>44293</v>
      </c>
      <c r="AE8" s="56">
        <f>IF(AND(YEAR(NisPaz1+10)=Yıl,MONTH(NisPaz1+10)=4),NisPaz1+10, "")</f>
        <v>44294</v>
      </c>
      <c r="AF8" s="56">
        <f>IF(AND(YEAR(NisPaz1+11)=Yıl,MONTH(NisPaz1+11)=4),NisPaz1+11, "")</f>
        <v>44295</v>
      </c>
      <c r="AG8" s="57">
        <f>IF(AND(YEAR(NisPaz1+12)=Yıl,MONTH(NisPaz1+12)=4),NisPaz1+12, "")</f>
        <v>44296</v>
      </c>
      <c r="AH8" s="58">
        <f>IF(AND(YEAR(NisPaz1+13)=Yıl,MONTH(NisPaz1+13)=4),NisPaz1+13, "")</f>
        <v>44297</v>
      </c>
    </row>
    <row r="9" spans="1:74" ht="12.95" customHeight="1" x14ac:dyDescent="0.2">
      <c r="D9" s="59">
        <f>IF(AND(YEAR(OcaPaz1+14)=Yıl,MONTH(OcaPaz1+14)=1),OcaPaz1+14, "")</f>
        <v>44207</v>
      </c>
      <c r="E9" s="60">
        <f>IF(AND(YEAR(OcaPaz1+15)=Yıl,MONTH(OcaPaz1+15)=1),OcaPaz1+15, "")</f>
        <v>44208</v>
      </c>
      <c r="F9" s="60">
        <f>IF(AND(YEAR(OcaPaz1+16)=Yıl,MONTH(OcaPaz1+16)=1),OcaPaz1+16, "")</f>
        <v>44209</v>
      </c>
      <c r="G9" s="60">
        <f>IF(AND(YEAR(OcaPaz1+17)=Yıl,MONTH(OcaPaz1+17)=1),OcaPaz1+17, "")</f>
        <v>44210</v>
      </c>
      <c r="H9" s="60">
        <f>IF(AND(YEAR(OcaPaz1+18)=Yıl,MONTH(OcaPaz1+18)=1),OcaPaz1+18, "")</f>
        <v>44211</v>
      </c>
      <c r="I9" s="61">
        <f>IF(AND(YEAR(OcaPaz1+19)=Yıl,MONTH(OcaPaz1+19)=1),OcaPaz1+19, "")</f>
        <v>44212</v>
      </c>
      <c r="J9" s="62">
        <f>IF(AND(YEAR(OcaPaz1+20)=Yıl,MONTH(OcaPaz1+20)=1),OcaPaz1+20, "")</f>
        <v>44213</v>
      </c>
      <c r="K9" s="53"/>
      <c r="L9" s="59">
        <f>IF(AND(YEAR(ŞubPaz1+14)=Yıl,MONTH(ŞubPaz1+14)=2),ŞubPaz1+14, "")</f>
        <v>44242</v>
      </c>
      <c r="M9" s="60">
        <f>IF(AND(YEAR(ŞubPaz1+15)=Yıl,MONTH(ŞubPaz1+15)=2),ŞubPaz1+15, "")</f>
        <v>44243</v>
      </c>
      <c r="N9" s="60">
        <f>IF(AND(YEAR(ŞubPaz1+16)=Yıl,MONTH(ŞubPaz1+16)=2),ŞubPaz1+16, "")</f>
        <v>44244</v>
      </c>
      <c r="O9" s="60">
        <f>IF(AND(YEAR(ŞubPaz1+17)=Yıl,MONTH(ŞubPaz1+17)=2),ŞubPaz1+17, "")</f>
        <v>44245</v>
      </c>
      <c r="P9" s="60">
        <f>IF(AND(YEAR(ŞubPaz1+18)=Yıl,MONTH(ŞubPaz1+18)=2),ŞubPaz1+18, "")</f>
        <v>44246</v>
      </c>
      <c r="Q9" s="61">
        <f>IF(AND(YEAR(ŞubPaz1+19)=Yıl,MONTH(ŞubPaz1+19)=2),ŞubPaz1+19, "")</f>
        <v>44247</v>
      </c>
      <c r="R9" s="62">
        <f>IF(AND(YEAR(ŞubPaz1+20)=Yıl,MONTH(ŞubPaz1+20)=2),ŞubPaz1+20, "")</f>
        <v>44248</v>
      </c>
      <c r="S9" s="53"/>
      <c r="T9" s="59">
        <f>IF(AND(YEAR(MarPaz1+14)=Yıl,MONTH(MarPaz1+14)=3),MarPaz1+14, "")</f>
        <v>44270</v>
      </c>
      <c r="U9" s="60">
        <f>IF(AND(YEAR(MarPaz1+15)=Yıl,MONTH(MarPaz1+15)=3),MarPaz1+15, "")</f>
        <v>44271</v>
      </c>
      <c r="V9" s="60">
        <f>IF(AND(YEAR(MarPaz1+16)=Yıl,MONTH(MarPaz1+16)=3),MarPaz1+16, "")</f>
        <v>44272</v>
      </c>
      <c r="W9" s="60">
        <f>IF(AND(YEAR(MarPaz1+17)=Yıl,MONTH(MarPaz1+17)=3),MarPaz1+17, "")</f>
        <v>44273</v>
      </c>
      <c r="X9" s="60">
        <f>IF(AND(YEAR(MarPaz1+18)=Yıl,MONTH(MarPaz1+18)=3),MarPaz1+18, "")</f>
        <v>44274</v>
      </c>
      <c r="Y9" s="61">
        <f>IF(AND(YEAR(MarPaz1+19)=Yıl,MONTH(MarPaz1+19)=3),MarPaz1+19, "")</f>
        <v>44275</v>
      </c>
      <c r="Z9" s="62">
        <f>IF(AND(YEAR(MarPaz1+20)=Yıl,MONTH(MarPaz1+20)=3),MarPaz1+20, "")</f>
        <v>44276</v>
      </c>
      <c r="AA9" s="53"/>
      <c r="AB9" s="59">
        <f>IF(AND(YEAR(NisPaz1+14)=Yıl,MONTH(NisPaz1+14)=4),NisPaz1+14, "")</f>
        <v>44298</v>
      </c>
      <c r="AC9" s="60">
        <f>IF(AND(YEAR(NisPaz1+15)=Yıl,MONTH(NisPaz1+15)=4),NisPaz1+15, "")</f>
        <v>44299</v>
      </c>
      <c r="AD9" s="60">
        <f>IF(AND(YEAR(NisPaz1+16)=Yıl,MONTH(NisPaz1+16)=4),NisPaz1+16, "")</f>
        <v>44300</v>
      </c>
      <c r="AE9" s="60">
        <f>IF(AND(YEAR(NisPaz1+17)=Yıl,MONTH(NisPaz1+17)=4),NisPaz1+17, "")</f>
        <v>44301</v>
      </c>
      <c r="AF9" s="60">
        <f>IF(AND(YEAR(NisPaz1+18)=Yıl,MONTH(NisPaz1+18)=4),NisPaz1+18, "")</f>
        <v>44302</v>
      </c>
      <c r="AG9" s="61">
        <f>IF(AND(YEAR(NisPaz1+19)=Yıl,MONTH(NisPaz1+19)=4),NisPaz1+19, "")</f>
        <v>44303</v>
      </c>
      <c r="AH9" s="62">
        <f>IF(AND(YEAR(NisPaz1+20)=Yıl,MONTH(NisPaz1+20)=4),NisPaz1+20, "")</f>
        <v>44304</v>
      </c>
    </row>
    <row r="10" spans="1:74" ht="12.95" customHeight="1" x14ac:dyDescent="0.2">
      <c r="A10" s="54"/>
      <c r="D10" s="55">
        <f>IF(AND(YEAR(OcaPaz1+21)=Yıl,MONTH(OcaPaz1+21)=1),OcaPaz1+21, "")</f>
        <v>44214</v>
      </c>
      <c r="E10" s="56">
        <f>IF(AND(YEAR(OcaPaz1+22)=Yıl,MONTH(OcaPaz1+22)=1),OcaPaz1+22, "")</f>
        <v>44215</v>
      </c>
      <c r="F10" s="56">
        <f>IF(AND(YEAR(OcaPaz1+23)=Yıl,MONTH(OcaPaz1+23)=1),OcaPaz1+23, "")</f>
        <v>44216</v>
      </c>
      <c r="G10" s="56">
        <f>IF(AND(YEAR(OcaPaz1+24)=Yıl,MONTH(OcaPaz1+24)=1),OcaPaz1+24, "")</f>
        <v>44217</v>
      </c>
      <c r="H10" s="56">
        <f>IF(AND(YEAR(OcaPaz1+25)=Yıl,MONTH(OcaPaz1+25)=1),OcaPaz1+25, "")</f>
        <v>44218</v>
      </c>
      <c r="I10" s="57">
        <f>IF(AND(YEAR(OcaPaz1+26)=Yıl,MONTH(OcaPaz1+26)=1),OcaPaz1+26, "")</f>
        <v>44219</v>
      </c>
      <c r="J10" s="58">
        <f>IF(AND(YEAR(OcaPaz1+27)=Yıl,MONTH(OcaPaz1+27)=1),OcaPaz1+27, "")</f>
        <v>44220</v>
      </c>
      <c r="K10" s="53"/>
      <c r="L10" s="55">
        <f>IF(AND(YEAR(ŞubPaz1+21)=Yıl,MONTH(ŞubPaz1+21)=2),ŞubPaz1+21, "")</f>
        <v>44249</v>
      </c>
      <c r="M10" s="56">
        <f>IF(AND(YEAR(ŞubPaz1+22)=Yıl,MONTH(ŞubPaz1+22)=2),ŞubPaz1+22, "")</f>
        <v>44250</v>
      </c>
      <c r="N10" s="56">
        <f>IF(AND(YEAR(ŞubPaz1+23)=Yıl,MONTH(ŞubPaz1+23)=2),ŞubPaz1+23, "")</f>
        <v>44251</v>
      </c>
      <c r="O10" s="56">
        <f>IF(AND(YEAR(ŞubPaz1+24)=Yıl,MONTH(ŞubPaz1+24)=2),ŞubPaz1+24, "")</f>
        <v>44252</v>
      </c>
      <c r="P10" s="56">
        <f>IF(AND(YEAR(ŞubPaz1+25)=Yıl,MONTH(ŞubPaz1+25)=2),ŞubPaz1+25, "")</f>
        <v>44253</v>
      </c>
      <c r="Q10" s="57">
        <f>IF(AND(YEAR(ŞubPaz1+26)=Yıl,MONTH(ŞubPaz1+26)=2),ŞubPaz1+26, "")</f>
        <v>44254</v>
      </c>
      <c r="R10" s="58">
        <f>IF(AND(YEAR(ŞubPaz1+27)=Yıl,MONTH(ŞubPaz1+27)=2),ŞubPaz1+27, "")</f>
        <v>44255</v>
      </c>
      <c r="S10" s="53"/>
      <c r="T10" s="55">
        <f>IF(AND(YEAR(MarPaz1+21)=Yıl,MONTH(MarPaz1+21)=3),MarPaz1+21, "")</f>
        <v>44277</v>
      </c>
      <c r="U10" s="56">
        <f>IF(AND(YEAR(MarPaz1+22)=Yıl,MONTH(MarPaz1+22)=3),MarPaz1+22, "")</f>
        <v>44278</v>
      </c>
      <c r="V10" s="56">
        <f>IF(AND(YEAR(MarPaz1+23)=Yıl,MONTH(MarPaz1+23)=3),MarPaz1+23, "")</f>
        <v>44279</v>
      </c>
      <c r="W10" s="56">
        <f>IF(AND(YEAR(MarPaz1+24)=Yıl,MONTH(MarPaz1+24)=3),MarPaz1+24, "")</f>
        <v>44280</v>
      </c>
      <c r="X10" s="56">
        <f>IF(AND(YEAR(MarPaz1+25)=Yıl,MONTH(MarPaz1+25)=3),MarPaz1+25, "")</f>
        <v>44281</v>
      </c>
      <c r="Y10" s="57">
        <f>IF(AND(YEAR(MarPaz1+26)=Yıl,MONTH(MarPaz1+26)=3),MarPaz1+26, "")</f>
        <v>44282</v>
      </c>
      <c r="Z10" s="58">
        <f>IF(AND(YEAR(MarPaz1+27)=Yıl,MONTH(MarPaz1+27)=3),MarPaz1+27, "")</f>
        <v>44283</v>
      </c>
      <c r="AA10" s="53"/>
      <c r="AB10" s="55">
        <f>IF(AND(YEAR(NisPaz1+21)=Yıl,MONTH(NisPaz1+21)=4),NisPaz1+21, "")</f>
        <v>44305</v>
      </c>
      <c r="AC10" s="56">
        <f>IF(AND(YEAR(NisPaz1+22)=Yıl,MONTH(NisPaz1+22)=4),NisPaz1+22, "")</f>
        <v>44306</v>
      </c>
      <c r="AD10" s="56">
        <f>IF(AND(YEAR(NisPaz1+23)=Yıl,MONTH(NisPaz1+23)=4),NisPaz1+23, "")</f>
        <v>44307</v>
      </c>
      <c r="AE10" s="56">
        <f>IF(AND(YEAR(NisPaz1+24)=Yıl,MONTH(NisPaz1+24)=4),NisPaz1+24, "")</f>
        <v>44308</v>
      </c>
      <c r="AF10" s="56">
        <f>IF(AND(YEAR(NisPaz1+25)=Yıl,MONTH(NisPaz1+25)=4),NisPaz1+25, "")</f>
        <v>44309</v>
      </c>
      <c r="AG10" s="57">
        <f>IF(AND(YEAR(NisPaz1+26)=Yıl,MONTH(NisPaz1+26)=4),NisPaz1+26, "")</f>
        <v>44310</v>
      </c>
      <c r="AH10" s="58">
        <f>IF(AND(YEAR(NisPaz1+27)=Yıl,MONTH(NisPaz1+27)=4),NisPaz1+27, "")</f>
        <v>44311</v>
      </c>
    </row>
    <row r="11" spans="1:74" ht="12.95" customHeight="1" x14ac:dyDescent="0.2">
      <c r="D11" s="59">
        <f>IF(AND(YEAR(OcaPaz1+28)=Yıl,MONTH(OcaPaz1+28)=1),OcaPaz1+28, "")</f>
        <v>44221</v>
      </c>
      <c r="E11" s="60">
        <f>IF(AND(YEAR(OcaPaz1+29)=Yıl,MONTH(OcaPaz1+29)=1),OcaPaz1+29, "")</f>
        <v>44222</v>
      </c>
      <c r="F11" s="60">
        <f>IF(AND(YEAR(OcaPaz1+30)=Yıl,MONTH(OcaPaz1+30)=1),OcaPaz1+30, "")</f>
        <v>44223</v>
      </c>
      <c r="G11" s="60">
        <f>IF(AND(YEAR(OcaPaz1+31)=Yıl,MONTH(OcaPaz1+31)=1),OcaPaz1+31, "")</f>
        <v>44224</v>
      </c>
      <c r="H11" s="60">
        <f>IF(AND(YEAR(OcaPaz1+32)=Yıl,MONTH(OcaPaz1+32)=1),OcaPaz1+32, "")</f>
        <v>44225</v>
      </c>
      <c r="I11" s="61">
        <f>IF(AND(YEAR(OcaPaz1+33)=Yıl,MONTH(OcaPaz1+33)=1),OcaPaz1+33, "")</f>
        <v>44226</v>
      </c>
      <c r="J11" s="62">
        <f>IF(AND(YEAR(OcaPaz1+34)=Yıl,MONTH(OcaPaz1+34)=1),OcaPaz1+34, "")</f>
        <v>44227</v>
      </c>
      <c r="K11" s="53"/>
      <c r="L11" s="59" t="str">
        <f>IF(AND(YEAR(ŞubPaz1+28)=Yıl,MONTH(ŞubPaz1+28)=2),ŞubPaz1+28, "")</f>
        <v/>
      </c>
      <c r="M11" s="60" t="str">
        <f>IF(AND(YEAR(ŞubPaz1+29)=Yıl,MONTH(ŞubPaz1+29)=2),ŞubPaz1+29, "")</f>
        <v/>
      </c>
      <c r="N11" s="60" t="str">
        <f>IF(AND(YEAR(ŞubPaz1+30)=Yıl,MONTH(ŞubPaz1+30)=2),ŞubPaz1+30, "")</f>
        <v/>
      </c>
      <c r="O11" s="60" t="str">
        <f>IF(AND(YEAR(ŞubPaz1+31)=Yıl,MONTH(ŞubPaz1+31)=2),ŞubPaz1+31, "")</f>
        <v/>
      </c>
      <c r="P11" s="60" t="str">
        <f>IF(AND(YEAR(ŞubPaz1+32)=Yıl,MONTH(ŞubPaz1+32)=2),ŞubPaz1+32, "")</f>
        <v/>
      </c>
      <c r="Q11" s="61" t="str">
        <f>IF(AND(YEAR(ŞubPaz1+33)=Yıl,MONTH(ŞubPaz1+33)=2),ŞubPaz1+33, "")</f>
        <v/>
      </c>
      <c r="R11" s="62" t="str">
        <f>IF(AND(YEAR(ŞubPaz1+34)=Yıl,MONTH(ŞubPaz1+34)=2),ŞubPaz1+34, "")</f>
        <v/>
      </c>
      <c r="S11" s="53"/>
      <c r="T11" s="59">
        <f>IF(AND(YEAR(MarPaz1+28)=Yıl,MONTH(MarPaz1+28)=3),MarPaz1+28, "")</f>
        <v>44284</v>
      </c>
      <c r="U11" s="60">
        <f>IF(AND(YEAR(MarPaz1+29)=Yıl,MONTH(MarPaz1+29)=3),MarPaz1+29, "")</f>
        <v>44285</v>
      </c>
      <c r="V11" s="60">
        <f>IF(AND(YEAR(MarPaz1+30)=Yıl,MONTH(MarPaz1+30)=3),MarPaz1+30, "")</f>
        <v>44286</v>
      </c>
      <c r="W11" s="60" t="str">
        <f>IF(AND(YEAR(MarPaz1+31)=Yıl,MONTH(MarPaz1+31)=3),MarPaz1+31, "")</f>
        <v/>
      </c>
      <c r="X11" s="60" t="str">
        <f>IF(AND(YEAR(MarPaz1+32)=Yıl,MONTH(MarPaz1+32)=3),MarPaz1+32, "")</f>
        <v/>
      </c>
      <c r="Y11" s="61" t="str">
        <f>IF(AND(YEAR(MarPaz1+33)=Yıl,MONTH(MarPaz1+33)=3),MarPaz1+33, "")</f>
        <v/>
      </c>
      <c r="Z11" s="62" t="str">
        <f>IF(AND(YEAR(MarPaz1+34)=Yıl,MONTH(MarPaz1+34)=3),MarPaz1+34, "")</f>
        <v/>
      </c>
      <c r="AA11" s="53"/>
      <c r="AB11" s="59">
        <f>IF(AND(YEAR(NisPaz1+28)=Yıl,MONTH(NisPaz1+28)=4),NisPaz1+28, "")</f>
        <v>44312</v>
      </c>
      <c r="AC11" s="60">
        <f>IF(AND(YEAR(NisPaz1+29)=Yıl,MONTH(NisPaz1+29)=4),NisPaz1+29, "")</f>
        <v>44313</v>
      </c>
      <c r="AD11" s="60">
        <f>IF(AND(YEAR(NisPaz1+30)=Yıl,MONTH(NisPaz1+30)=4),NisPaz1+30, "")</f>
        <v>44314</v>
      </c>
      <c r="AE11" s="60">
        <f>IF(AND(YEAR(NisPaz1+31)=Yıl,MONTH(NisPaz1+31)=4),NisPaz1+31, "")</f>
        <v>44315</v>
      </c>
      <c r="AF11" s="60">
        <f>IF(AND(YEAR(NisPaz1+32)=Yıl,MONTH(NisPaz1+32)=4),NisPaz1+32, "")</f>
        <v>44316</v>
      </c>
      <c r="AG11" s="61" t="str">
        <f>IF(AND(YEAR(NisPaz1+33)=Yıl,MONTH(NisPaz1+33)=4),NisPaz1+33, "")</f>
        <v/>
      </c>
      <c r="AH11" s="62" t="str">
        <f>IF(AND(YEAR(NisPaz1+34)=Yıl,MONTH(NisPaz1+34)=4),NisPaz1+34, "")</f>
        <v/>
      </c>
      <c r="AM11" s="63"/>
    </row>
    <row r="12" spans="1:74" ht="12.95" customHeight="1" x14ac:dyDescent="0.2">
      <c r="A12" s="54"/>
      <c r="D12" s="64" t="str">
        <f>IF(AND(YEAR(OcaPaz1+35)=Yıl,MONTH(OcaPaz1+35)=1),OcaPaz1+35, "")</f>
        <v/>
      </c>
      <c r="E12" s="65" t="str">
        <f>IF(AND(YEAR(OcaPaz1+36)=Yıl,MONTH(OcaPaz1+36)=1),OcaPaz1+36, "")</f>
        <v/>
      </c>
      <c r="F12" s="65" t="str">
        <f>IF(AND(YEAR(OcaPaz1+37)=Yıl,MONTH(OcaPaz1+37)=1),OcaPaz1+37, "")</f>
        <v/>
      </c>
      <c r="G12" s="65" t="str">
        <f>IF(AND(YEAR(OcaPaz1+38)=Yıl,MONTH(OcaPaz1+38)=1),OcaPaz1+38, "")</f>
        <v/>
      </c>
      <c r="H12" s="65" t="str">
        <f>IF(AND(YEAR(OcaPaz1+39)=Yıl,MONTH(OcaPaz1+39)=1),OcaPaz1+39, "")</f>
        <v/>
      </c>
      <c r="I12" s="66" t="str">
        <f>IF(AND(YEAR(OcaPaz1+40)=Yıl,MONTH(OcaPaz1+40)=1),OcaPaz1+40, "")</f>
        <v/>
      </c>
      <c r="J12" s="67" t="str">
        <f>IF(AND(YEAR(OcaPaz1+41)=Yıl,MONTH(OcaPaz1+41)=1),OcaPaz1+41, "")</f>
        <v/>
      </c>
      <c r="K12" s="53"/>
      <c r="L12" s="64" t="str">
        <f>IF(AND(YEAR(ŞubPaz1+35)=Yıl,MONTH(ŞubPaz1+35)=2),ŞubPaz1+35, "")</f>
        <v/>
      </c>
      <c r="M12" s="65" t="str">
        <f>IF(AND(YEAR(ŞubPaz1+36)=Yıl,MONTH(ŞubPaz1+36)=2),ŞubPaz1+36, "")</f>
        <v/>
      </c>
      <c r="N12" s="65" t="str">
        <f>IF(AND(YEAR(ŞubPaz1+37)=Yıl,MONTH(ŞubPaz1+37)=2),ŞubPaz1+37, "")</f>
        <v/>
      </c>
      <c r="O12" s="65" t="str">
        <f>IF(AND(YEAR(ŞubPaz1+38)=Yıl,MONTH(ŞubPaz1+38)=2),ŞubPaz1+38, "")</f>
        <v/>
      </c>
      <c r="P12" s="65" t="str">
        <f>IF(AND(YEAR(ŞubPaz1+39)=Yıl,MONTH(ŞubPaz1+39)=2),ŞubPaz1+39, "")</f>
        <v/>
      </c>
      <c r="Q12" s="66" t="str">
        <f>IF(AND(YEAR(ŞubPaz1+40)=Yıl,MONTH(ŞubPaz1+40)=2),ŞubPaz1+40, "")</f>
        <v/>
      </c>
      <c r="R12" s="67" t="str">
        <f>IF(AND(YEAR(ŞubPaz1+41)=Yıl,MONTH(ŞubPaz1+41)=2),ŞubPaz1+41, "")</f>
        <v/>
      </c>
      <c r="S12" s="53"/>
      <c r="T12" s="64" t="str">
        <f>IF(AND(YEAR(MarPaz1+35)=Yıl,MONTH(MarPaz1+35)=3),MarPaz1+35, "")</f>
        <v/>
      </c>
      <c r="U12" s="65" t="str">
        <f>IF(AND(YEAR(MarPaz1+36)=Yıl,MONTH(MarPaz1+36)=3),MarPaz1+36, "")</f>
        <v/>
      </c>
      <c r="V12" s="65" t="str">
        <f>IF(AND(YEAR(MarPaz1+37)=Yıl,MONTH(MarPaz1+37)=3),MarPaz1+37, "")</f>
        <v/>
      </c>
      <c r="W12" s="65" t="str">
        <f>IF(AND(YEAR(MarPaz1+38)=Yıl,MONTH(MarPaz1+38)=3),MarPaz1+38, "")</f>
        <v/>
      </c>
      <c r="X12" s="65" t="str">
        <f>IF(AND(YEAR(MarPaz1+39)=Yıl,MONTH(MarPaz1+39)=3),MarPaz1+39, "")</f>
        <v/>
      </c>
      <c r="Y12" s="66" t="str">
        <f>IF(AND(YEAR(MarPaz1+40)=Yıl,MONTH(MarPaz1+40)=3),MarPaz1+40, "")</f>
        <v/>
      </c>
      <c r="Z12" s="67" t="str">
        <f>IF(AND(YEAR(MarPaz1+41)=Yıl,MONTH(MarPaz1+41)=3),MarPaz1+41, "")</f>
        <v/>
      </c>
      <c r="AA12" s="53"/>
      <c r="AB12" s="64" t="str">
        <f>IF(AND(YEAR(NisPaz1+35)=Yıl,MONTH(NisPaz1+35)=4),NisPaz1+35, "")</f>
        <v/>
      </c>
      <c r="AC12" s="65" t="str">
        <f>IF(AND(YEAR(NisPaz1+36)=Yıl,MONTH(NisPaz1+36)=4),NisPaz1+36, "")</f>
        <v/>
      </c>
      <c r="AD12" s="65" t="str">
        <f>IF(AND(YEAR(NisPaz1+37)=Yıl,MONTH(NisPaz1+37)=4),NisPaz1+37, "")</f>
        <v/>
      </c>
      <c r="AE12" s="65" t="str">
        <f>IF(AND(YEAR(NisPaz1+38)=Yıl,MONTH(NisPaz1+38)=4),NisPaz1+38, "")</f>
        <v/>
      </c>
      <c r="AF12" s="65" t="str">
        <f>IF(AND(YEAR(NisPaz1+39)=Yıl,MONTH(NisPaz1+39)=4),NisPaz1+39, "")</f>
        <v/>
      </c>
      <c r="AG12" s="66" t="str">
        <f>IF(AND(YEAR(NisPaz1+40)=Yıl,MONTH(NisPaz1+40)=4),NisPaz1+40, "")</f>
        <v/>
      </c>
      <c r="AH12" s="67" t="str">
        <f>IF(AND(YEAR(NisPaz1+41)=Yıl,MONTH(NisPaz1+41)=4),NisPaz1+41, "")</f>
        <v/>
      </c>
    </row>
    <row r="13" spans="1:74" ht="9.9499999999999993" customHeight="1" x14ac:dyDescent="0.2">
      <c r="C13" s="53"/>
      <c r="D13" s="68"/>
      <c r="E13" s="68"/>
      <c r="F13" s="68"/>
      <c r="G13" s="68"/>
      <c r="H13" s="68"/>
      <c r="I13" s="69"/>
      <c r="J13" s="69"/>
      <c r="K13" s="53"/>
      <c r="L13" s="68"/>
      <c r="M13" s="68"/>
      <c r="N13" s="68"/>
      <c r="O13" s="68"/>
      <c r="P13" s="68"/>
      <c r="Q13" s="69"/>
      <c r="R13" s="69"/>
      <c r="S13" s="53"/>
      <c r="T13" s="70"/>
      <c r="U13" s="70"/>
      <c r="V13" s="70"/>
      <c r="W13" s="70"/>
      <c r="X13" s="70"/>
      <c r="Y13" s="71"/>
      <c r="Z13" s="71"/>
      <c r="AA13" s="53"/>
      <c r="AB13" s="68"/>
      <c r="AC13" s="68"/>
      <c r="AD13" s="68"/>
      <c r="AE13" s="68"/>
      <c r="AF13" s="68"/>
      <c r="AG13" s="69"/>
      <c r="AH13" s="69"/>
      <c r="AI13" s="53"/>
    </row>
    <row r="14" spans="1:74" s="43" customFormat="1" ht="24" customHeight="1" x14ac:dyDescent="0.3">
      <c r="D14" s="125" t="s">
        <v>44</v>
      </c>
      <c r="E14" s="125"/>
      <c r="F14" s="125"/>
      <c r="G14" s="125"/>
      <c r="H14" s="125"/>
      <c r="I14" s="125"/>
      <c r="J14" s="125"/>
      <c r="K14" s="44"/>
      <c r="L14" s="125" t="s">
        <v>45</v>
      </c>
      <c r="M14" s="125"/>
      <c r="N14" s="125"/>
      <c r="O14" s="125"/>
      <c r="P14" s="125"/>
      <c r="Q14" s="125"/>
      <c r="R14" s="125"/>
      <c r="S14" s="44"/>
      <c r="T14" s="125" t="s">
        <v>46</v>
      </c>
      <c r="U14" s="125"/>
      <c r="V14" s="125"/>
      <c r="W14" s="125"/>
      <c r="X14" s="125"/>
      <c r="Y14" s="125"/>
      <c r="Z14" s="125"/>
      <c r="AA14" s="44"/>
      <c r="AB14" s="125" t="s">
        <v>47</v>
      </c>
      <c r="AC14" s="125"/>
      <c r="AD14" s="125"/>
      <c r="AE14" s="125"/>
      <c r="AF14" s="125"/>
      <c r="AG14" s="125"/>
      <c r="AH14" s="125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</row>
    <row r="15" spans="1:74" ht="12.95" customHeight="1" x14ac:dyDescent="0.2">
      <c r="C15" s="46"/>
      <c r="D15" s="47" t="s">
        <v>37</v>
      </c>
      <c r="E15" s="47" t="s">
        <v>38</v>
      </c>
      <c r="F15" s="47" t="s">
        <v>39</v>
      </c>
      <c r="G15" s="47" t="s">
        <v>40</v>
      </c>
      <c r="H15" s="47" t="s">
        <v>41</v>
      </c>
      <c r="I15" s="47" t="s">
        <v>42</v>
      </c>
      <c r="J15" s="47" t="s">
        <v>43</v>
      </c>
      <c r="K15" s="48"/>
      <c r="L15" s="47" t="s">
        <v>37</v>
      </c>
      <c r="M15" s="47" t="s">
        <v>38</v>
      </c>
      <c r="N15" s="47" t="s">
        <v>39</v>
      </c>
      <c r="O15" s="47" t="s">
        <v>40</v>
      </c>
      <c r="P15" s="47" t="s">
        <v>41</v>
      </c>
      <c r="Q15" s="47" t="s">
        <v>42</v>
      </c>
      <c r="R15" s="47" t="s">
        <v>43</v>
      </c>
      <c r="S15" s="48"/>
      <c r="T15" s="47" t="s">
        <v>37</v>
      </c>
      <c r="U15" s="47" t="s">
        <v>38</v>
      </c>
      <c r="V15" s="47" t="s">
        <v>39</v>
      </c>
      <c r="W15" s="47" t="s">
        <v>40</v>
      </c>
      <c r="X15" s="47" t="s">
        <v>41</v>
      </c>
      <c r="Y15" s="47" t="s">
        <v>42</v>
      </c>
      <c r="Z15" s="47" t="s">
        <v>43</v>
      </c>
      <c r="AA15" s="48"/>
      <c r="AB15" s="47" t="s">
        <v>37</v>
      </c>
      <c r="AC15" s="47" t="s">
        <v>38</v>
      </c>
      <c r="AD15" s="47" t="s">
        <v>39</v>
      </c>
      <c r="AE15" s="47" t="s">
        <v>40</v>
      </c>
      <c r="AF15" s="47" t="s">
        <v>41</v>
      </c>
      <c r="AG15" s="47" t="s">
        <v>42</v>
      </c>
      <c r="AH15" s="47" t="s">
        <v>43</v>
      </c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</row>
    <row r="16" spans="1:74" ht="12.95" customHeight="1" x14ac:dyDescent="0.2">
      <c r="D16" s="49" t="str">
        <f>IF(AND(YEAR(MayPaz1)=Yıl,MONTH(MayPaz1)=5),MayPaz1, "")</f>
        <v/>
      </c>
      <c r="E16" s="50" t="str">
        <f>IF(AND(YEAR(MayPaz1+1)=Yıl,MONTH(MayPaz1+1)=5),MayPaz1+1, "")</f>
        <v/>
      </c>
      <c r="F16" s="50" t="str">
        <f>IF(AND(YEAR(MayPaz1+2)=Yıl,MONTH(MayPaz1+2)=5),MayPaz1+2, "")</f>
        <v/>
      </c>
      <c r="G16" s="50" t="str">
        <f>IF(AND(YEAR(MayPaz1+3)=Yıl,MONTH(MayPaz1+3)=5),MayPaz1+3, "")</f>
        <v/>
      </c>
      <c r="H16" s="50" t="str">
        <f>IF(AND(YEAR(MayPaz1+4)=Yıl,MONTH(MayPaz1+4)=5),MayPaz1+4, "")</f>
        <v/>
      </c>
      <c r="I16" s="51">
        <f>IF(AND(YEAR(MayPaz1+5)=Yıl,MONTH(MayPaz1+5)=5),MayPaz1+5, "")</f>
        <v>44317</v>
      </c>
      <c r="J16" s="52">
        <f>IF(AND(YEAR(MayPaz1+6)=Yıl,MONTH(MayPaz1+6)=5),MayPaz1+6, "")</f>
        <v>44318</v>
      </c>
      <c r="K16" s="53"/>
      <c r="L16" s="49" t="str">
        <f>IF(AND(YEAR(HazPaz1)=Yıl,MONTH(HazPaz1)=6),HazPaz1, "")</f>
        <v/>
      </c>
      <c r="M16" s="50">
        <f>IF(AND(YEAR(HazPaz1+1)=Yıl,MONTH(HazPaz1+1)=6),HazPaz1+1, "")</f>
        <v>44348</v>
      </c>
      <c r="N16" s="50">
        <f>IF(AND(YEAR(HazPaz1+2)=Yıl,MONTH(HazPaz1+2)=6),HazPaz1+2, "")</f>
        <v>44349</v>
      </c>
      <c r="O16" s="50">
        <f>IF(AND(YEAR(HazPaz1+3)=Yıl,MONTH(HazPaz1+3)=6),HazPaz1+3, "")</f>
        <v>44350</v>
      </c>
      <c r="P16" s="50">
        <f>IF(AND(YEAR(HazPaz1+4)=Yıl,MONTH(HazPaz1+4)=6),HazPaz1+4, "")</f>
        <v>44351</v>
      </c>
      <c r="Q16" s="51">
        <f>IF(AND(YEAR(HazPaz1+5)=Yıl,MONTH(HazPaz1+5)=6),HazPaz1+5, "")</f>
        <v>44352</v>
      </c>
      <c r="R16" s="52">
        <f>IF(AND(YEAR(HazPaz1+6)=Yıl,MONTH(HazPaz1+6)=6),HazPaz1+6, "")</f>
        <v>44353</v>
      </c>
      <c r="S16" s="53"/>
      <c r="T16" s="49" t="str">
        <f>IF(AND(YEAR(TemPaz1)=Yıl,MONTH(TemPaz1)=7),TemPaz1, "")</f>
        <v/>
      </c>
      <c r="U16" s="50" t="str">
        <f>IF(AND(YEAR(TemPaz1+1)=Yıl,MONTH(TemPaz1+1)=7),TemPaz1+1, "")</f>
        <v/>
      </c>
      <c r="V16" s="50" t="str">
        <f>IF(AND(YEAR(TemPaz1+2)=Yıl,MONTH(TemPaz1+2)=7),TemPaz1+2, "")</f>
        <v/>
      </c>
      <c r="W16" s="50">
        <f>IF(AND(YEAR(TemPaz1+3)=Yıl,MONTH(TemPaz1+3)=7),TemPaz1+3, "")</f>
        <v>44378</v>
      </c>
      <c r="X16" s="50">
        <f>IF(AND(YEAR(TemPaz1+4)=Yıl,MONTH(TemPaz1+4)=7),TemPaz1+4, "")</f>
        <v>44379</v>
      </c>
      <c r="Y16" s="51">
        <f>IF(AND(YEAR(TemPaz1+5)=Yıl,MONTH(TemPaz1+5)=7),TemPaz1+5, "")</f>
        <v>44380</v>
      </c>
      <c r="Z16" s="52">
        <f>IF(AND(YEAR(TemPaz1+6)=Yıl,MONTH(TemPaz1+6)=7),TemPaz1+6, "")</f>
        <v>44381</v>
      </c>
      <c r="AA16" s="53"/>
      <c r="AB16" s="49" t="str">
        <f>IF(AND(YEAR(AğuPaz1)=Yıl,MONTH(AğuPaz1)=8),AğuPaz1, "")</f>
        <v/>
      </c>
      <c r="AC16" s="50" t="str">
        <f>IF(AND(YEAR(AğuPaz1+1)=Yıl,MONTH(AğuPaz1+1)=8),AğuPaz1+1, "")</f>
        <v/>
      </c>
      <c r="AD16" s="50" t="str">
        <f>IF(AND(YEAR(AğuPaz1+2)=Yıl,MONTH(AğuPaz1+2)=8),AğuPaz1+2, "")</f>
        <v/>
      </c>
      <c r="AE16" s="50" t="str">
        <f>IF(AND(YEAR(AğuPaz1+3)=Yıl,MONTH(AğuPaz1+3)=8),AğuPaz1+3, "")</f>
        <v/>
      </c>
      <c r="AF16" s="50" t="str">
        <f>IF(AND(YEAR(AğuPaz1+4)=Yıl,MONTH(AğuPaz1+4)=8),AğuPaz1+4, "")</f>
        <v/>
      </c>
      <c r="AG16" s="51" t="str">
        <f>IF(AND(YEAR(AğuPaz1+5)=Yıl,MONTH(AğuPaz1+5)=8),AğuPaz1+5, "")</f>
        <v/>
      </c>
      <c r="AH16" s="52">
        <f>IF(AND(YEAR(AğuPaz1+6)=Yıl,MONTH(AğuPaz1+6)=8),AğuPaz1+6, "")</f>
        <v>44409</v>
      </c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</row>
    <row r="17" spans="1:80" ht="12.95" customHeight="1" x14ac:dyDescent="0.2">
      <c r="A17" s="54"/>
      <c r="D17" s="55">
        <f>IF(AND(YEAR(MayPaz1+7)=Yıl,MONTH(MayPaz1+7)=5),MayPaz1+7, "")</f>
        <v>44319</v>
      </c>
      <c r="E17" s="56">
        <f>IF(AND(YEAR(MayPaz1+8)=Yıl,MONTH(MayPaz1+8)=5),MayPaz1+8, "")</f>
        <v>44320</v>
      </c>
      <c r="F17" s="56">
        <f>IF(AND(YEAR(MayPaz1+9)=Yıl,MONTH(MayPaz1+9)=5),MayPaz1+9, "")</f>
        <v>44321</v>
      </c>
      <c r="G17" s="56">
        <f>IF(AND(YEAR(MayPaz1+10)=Yıl,MONTH(MayPaz1+10)=5),MayPaz1+10, "")</f>
        <v>44322</v>
      </c>
      <c r="H17" s="56">
        <f>IF(AND(YEAR(MayPaz1+11)=Yıl,MONTH(MayPaz1+11)=5),MayPaz1+11, "")</f>
        <v>44323</v>
      </c>
      <c r="I17" s="57">
        <f>IF(AND(YEAR(MayPaz1+12)=Yıl,MONTH(MayPaz1+12)=5),MayPaz1+12, "")</f>
        <v>44324</v>
      </c>
      <c r="J17" s="58">
        <f>IF(AND(YEAR(MayPaz1+13)=Yıl,MONTH(MayPaz1+13)=5),MayPaz1+13, "")</f>
        <v>44325</v>
      </c>
      <c r="K17" s="53"/>
      <c r="L17" s="55">
        <f>IF(AND(YEAR(HazPaz1+7)=Yıl,MONTH(HazPaz1+7)=6),HazPaz1+7, "")</f>
        <v>44354</v>
      </c>
      <c r="M17" s="56">
        <f>IF(AND(YEAR(HazPaz1+8)=Yıl,MONTH(HazPaz1+8)=6),HazPaz1+8, "")</f>
        <v>44355</v>
      </c>
      <c r="N17" s="56">
        <f>IF(AND(YEAR(HazPaz1+9)=Yıl,MONTH(HazPaz1+9)=6),HazPaz1+9, "")</f>
        <v>44356</v>
      </c>
      <c r="O17" s="56">
        <f>IF(AND(YEAR(HazPaz1+10)=Yıl,MONTH(HazPaz1+10)=6),HazPaz1+10, "")</f>
        <v>44357</v>
      </c>
      <c r="P17" s="56">
        <f>IF(AND(YEAR(HazPaz1+11)=Yıl,MONTH(HazPaz1+11)=6),HazPaz1+11, "")</f>
        <v>44358</v>
      </c>
      <c r="Q17" s="57">
        <f>IF(AND(YEAR(HazPaz1+12)=Yıl,MONTH(HazPaz1+12)=6),HazPaz1+12, "")</f>
        <v>44359</v>
      </c>
      <c r="R17" s="58">
        <f>IF(AND(YEAR(HazPaz1+13)=Yıl,MONTH(HazPaz1+13)=6),HazPaz1+13, "")</f>
        <v>44360</v>
      </c>
      <c r="S17" s="53"/>
      <c r="T17" s="55">
        <f>IF(AND(YEAR(TemPaz1+7)=Yıl,MONTH(TemPaz1+7)=7),TemPaz1+7, "")</f>
        <v>44382</v>
      </c>
      <c r="U17" s="56">
        <f>IF(AND(YEAR(TemPaz1+8)=Yıl,MONTH(TemPaz1+8)=7),TemPaz1+8, "")</f>
        <v>44383</v>
      </c>
      <c r="V17" s="56">
        <f>IF(AND(YEAR(TemPaz1+9)=Yıl,MONTH(TemPaz1+9)=7),TemPaz1+9, "")</f>
        <v>44384</v>
      </c>
      <c r="W17" s="56">
        <f>IF(AND(YEAR(TemPaz1+10)=Yıl,MONTH(TemPaz1+10)=7),TemPaz1+10, "")</f>
        <v>44385</v>
      </c>
      <c r="X17" s="56">
        <f>IF(AND(YEAR(TemPaz1+11)=Yıl,MONTH(TemPaz1+11)=7),TemPaz1+11, "")</f>
        <v>44386</v>
      </c>
      <c r="Y17" s="57">
        <f>IF(AND(YEAR(TemPaz1+12)=Yıl,MONTH(TemPaz1+12)=7),TemPaz1+12, "")</f>
        <v>44387</v>
      </c>
      <c r="Z17" s="58">
        <f>IF(AND(YEAR(TemPaz1+13)=Yıl,MONTH(TemPaz1+13)=7),TemPaz1+13, "")</f>
        <v>44388</v>
      </c>
      <c r="AA17" s="53"/>
      <c r="AB17" s="55">
        <f>IF(AND(YEAR(AğuPaz1+7)=Yıl,MONTH(AğuPaz1+7)=8),AğuPaz1+7, "")</f>
        <v>44410</v>
      </c>
      <c r="AC17" s="56">
        <f>IF(AND(YEAR(AğuPaz1+8)=Yıl,MONTH(AğuPaz1+8)=8),AğuPaz1+8, "")</f>
        <v>44411</v>
      </c>
      <c r="AD17" s="56">
        <f>IF(AND(YEAR(AğuPaz1+9)=Yıl,MONTH(AğuPaz1+9)=8),AğuPaz1+9, "")</f>
        <v>44412</v>
      </c>
      <c r="AE17" s="56">
        <f>IF(AND(YEAR(AğuPaz1+10)=Yıl,MONTH(AğuPaz1+10)=8),AğuPaz1+10, "")</f>
        <v>44413</v>
      </c>
      <c r="AF17" s="56">
        <f>IF(AND(YEAR(AğuPaz1+11)=Yıl,MONTH(AğuPaz1+11)=8),AğuPaz1+11, "")</f>
        <v>44414</v>
      </c>
      <c r="AG17" s="57">
        <f>IF(AND(YEAR(AğuPaz1+12)=Yıl,MONTH(AğuPaz1+12)=8),AğuPaz1+12, "")</f>
        <v>44415</v>
      </c>
      <c r="AH17" s="58">
        <f>IF(AND(YEAR(AğuPaz1+13)=Yıl,MONTH(AğuPaz1+13)=8),AğuPaz1+13, "")</f>
        <v>44416</v>
      </c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</row>
    <row r="18" spans="1:80" ht="12.95" customHeight="1" x14ac:dyDescent="0.2">
      <c r="D18" s="59">
        <f>IF(AND(YEAR(MayPaz1+14)=Yıl,MONTH(MayPaz1+14)=5),MayPaz1+14, "")</f>
        <v>44326</v>
      </c>
      <c r="E18" s="60">
        <f>IF(AND(YEAR(MayPaz1+15)=Yıl,MONTH(MayPaz1+15)=5),MayPaz1+15, "")</f>
        <v>44327</v>
      </c>
      <c r="F18" s="60">
        <f>IF(AND(YEAR(MayPaz1+16)=Yıl,MONTH(MayPaz1+16)=5),MayPaz1+16, "")</f>
        <v>44328</v>
      </c>
      <c r="G18" s="60">
        <f>IF(AND(YEAR(MayPaz1+17)=Yıl,MONTH(MayPaz1+17)=5),MayPaz1+17, "")</f>
        <v>44329</v>
      </c>
      <c r="H18" s="60">
        <f>IF(AND(YEAR(MayPaz1+18)=Yıl,MONTH(MayPaz1+18)=5),MayPaz1+18, "")</f>
        <v>44330</v>
      </c>
      <c r="I18" s="61">
        <f>IF(AND(YEAR(MayPaz1+19)=Yıl,MONTH(MayPaz1+19)=5),MayPaz1+19, "")</f>
        <v>44331</v>
      </c>
      <c r="J18" s="62">
        <f>IF(AND(YEAR(MayPaz1+20)=Yıl,MONTH(MayPaz1+20)=5),MayPaz1+20, "")</f>
        <v>44332</v>
      </c>
      <c r="K18" s="53"/>
      <c r="L18" s="59">
        <f>IF(AND(YEAR(HazPaz1+14)=Yıl,MONTH(HazPaz1+14)=6),HazPaz1+14, "")</f>
        <v>44361</v>
      </c>
      <c r="M18" s="60">
        <f>IF(AND(YEAR(HazPaz1+15)=Yıl,MONTH(HazPaz1+15)=6),HazPaz1+15, "")</f>
        <v>44362</v>
      </c>
      <c r="N18" s="60">
        <f>IF(AND(YEAR(HazPaz1+16)=Yıl,MONTH(HazPaz1+16)=6),HazPaz1+16, "")</f>
        <v>44363</v>
      </c>
      <c r="O18" s="60">
        <f>IF(AND(YEAR(HazPaz1+17)=Yıl,MONTH(HazPaz1+17)=6),HazPaz1+17, "")</f>
        <v>44364</v>
      </c>
      <c r="P18" s="60">
        <f>IF(AND(YEAR(HazPaz1+18)=Yıl,MONTH(HazPaz1+18)=6),HazPaz1+18, "")</f>
        <v>44365</v>
      </c>
      <c r="Q18" s="61">
        <f>IF(AND(YEAR(HazPaz1+19)=Yıl,MONTH(HazPaz1+19)=6),HazPaz1+19, "")</f>
        <v>44366</v>
      </c>
      <c r="R18" s="62">
        <f>IF(AND(YEAR(HazPaz1+20)=Yıl,MONTH(HazPaz1+20)=6),HazPaz1+20, "")</f>
        <v>44367</v>
      </c>
      <c r="S18" s="53"/>
      <c r="T18" s="59">
        <f>IF(AND(YEAR(TemPaz1+14)=Yıl,MONTH(TemPaz1+14)=7),TemPaz1+14, "")</f>
        <v>44389</v>
      </c>
      <c r="U18" s="60">
        <f>IF(AND(YEAR(TemPaz1+15)=Yıl,MONTH(TemPaz1+15)=7),TemPaz1+15, "")</f>
        <v>44390</v>
      </c>
      <c r="V18" s="60">
        <f>IF(AND(YEAR(TemPaz1+16)=Yıl,MONTH(TemPaz1+16)=7),TemPaz1+16, "")</f>
        <v>44391</v>
      </c>
      <c r="W18" s="60">
        <f>IF(AND(YEAR(TemPaz1+17)=Yıl,MONTH(TemPaz1+17)=7),TemPaz1+17, "")</f>
        <v>44392</v>
      </c>
      <c r="X18" s="60">
        <f>IF(AND(YEAR(TemPaz1+18)=Yıl,MONTH(TemPaz1+18)=7),TemPaz1+18, "")</f>
        <v>44393</v>
      </c>
      <c r="Y18" s="61">
        <f>IF(AND(YEAR(TemPaz1+19)=Yıl,MONTH(TemPaz1+19)=7),TemPaz1+19, "")</f>
        <v>44394</v>
      </c>
      <c r="Z18" s="62">
        <f>IF(AND(YEAR(TemPaz1+20)=Yıl,MONTH(TemPaz1+20)=7),TemPaz1+20, "")</f>
        <v>44395</v>
      </c>
      <c r="AA18" s="53"/>
      <c r="AB18" s="59">
        <f>IF(AND(YEAR(AğuPaz1+14)=Yıl,MONTH(AğuPaz1+14)=8),AğuPaz1+14, "")</f>
        <v>44417</v>
      </c>
      <c r="AC18" s="60">
        <f>IF(AND(YEAR(AğuPaz1+15)=Yıl,MONTH(AğuPaz1+15)=8),AğuPaz1+15, "")</f>
        <v>44418</v>
      </c>
      <c r="AD18" s="60">
        <f>IF(AND(YEAR(AğuPaz1+16)=Yıl,MONTH(AğuPaz1+16)=8),AğuPaz1+16, "")</f>
        <v>44419</v>
      </c>
      <c r="AE18" s="60">
        <f>IF(AND(YEAR(AğuPaz1+17)=Yıl,MONTH(AğuPaz1+17)=8),AğuPaz1+17, "")</f>
        <v>44420</v>
      </c>
      <c r="AF18" s="60">
        <f>IF(AND(YEAR(AğuPaz1+18)=Yıl,MONTH(AğuPaz1+18)=8),AğuPaz1+18, "")</f>
        <v>44421</v>
      </c>
      <c r="AG18" s="61">
        <f>IF(AND(YEAR(AğuPaz1+19)=Yıl,MONTH(AğuPaz1+19)=8),AğuPaz1+19, "")</f>
        <v>44422</v>
      </c>
      <c r="AH18" s="62">
        <f>IF(AND(YEAR(AğuPaz1+20)=Yıl,MONTH(AğuPaz1+20)=8),AğuPaz1+20, "")</f>
        <v>44423</v>
      </c>
      <c r="AN18" s="37" t="e">
        <f>IF(DAY(G7),"",99)</f>
        <v>#VALUE!</v>
      </c>
      <c r="AO18" s="37" t="str">
        <f>IF(DAY(H7)=1,"",99)</f>
        <v/>
      </c>
      <c r="AP18" s="37">
        <f>IF(DAY(I7)=1,"",99)</f>
        <v>99</v>
      </c>
      <c r="AQ18" s="37" t="str">
        <f t="shared" ref="AQ18" si="0">IF(DAY(J7),"",99)</f>
        <v/>
      </c>
    </row>
    <row r="19" spans="1:80" ht="12.95" customHeight="1" x14ac:dyDescent="0.2">
      <c r="A19" s="54"/>
      <c r="D19" s="55">
        <f>IF(AND(YEAR(MayPaz1+21)=Yıl,MONTH(MayPaz1+21)=5),MayPaz1+21, "")</f>
        <v>44333</v>
      </c>
      <c r="E19" s="56">
        <f>IF(AND(YEAR(MayPaz1+22)=Yıl,MONTH(MayPaz1+22)=5),MayPaz1+22, "")</f>
        <v>44334</v>
      </c>
      <c r="F19" s="56">
        <f>IF(AND(YEAR(MayPaz1+23)=Yıl,MONTH(MayPaz1+23)=5),MayPaz1+23, "")</f>
        <v>44335</v>
      </c>
      <c r="G19" s="56">
        <f>IF(AND(YEAR(MayPaz1+24)=Yıl,MONTH(MayPaz1+24)=5),MayPaz1+24, "")</f>
        <v>44336</v>
      </c>
      <c r="H19" s="56">
        <f>IF(AND(YEAR(MayPaz1+25)=Yıl,MONTH(MayPaz1+25)=5),MayPaz1+25, "")</f>
        <v>44337</v>
      </c>
      <c r="I19" s="57">
        <f>IF(AND(YEAR(MayPaz1+26)=Yıl,MONTH(MayPaz1+26)=5),MayPaz1+26, "")</f>
        <v>44338</v>
      </c>
      <c r="J19" s="58">
        <f>IF(AND(YEAR(MayPaz1+27)=Yıl,MONTH(MayPaz1+27)=5),MayPaz1+27, "")</f>
        <v>44339</v>
      </c>
      <c r="K19" s="53"/>
      <c r="L19" s="55">
        <f>IF(AND(YEAR(HazPaz1+21)=Yıl,MONTH(HazPaz1+21)=6),HazPaz1+21, "")</f>
        <v>44368</v>
      </c>
      <c r="M19" s="56">
        <f>IF(AND(YEAR(HazPaz1+22)=Yıl,MONTH(HazPaz1+22)=6),HazPaz1+22, "")</f>
        <v>44369</v>
      </c>
      <c r="N19" s="56">
        <f>IF(AND(YEAR(HazPaz1+23)=Yıl,MONTH(HazPaz1+23)=6),HazPaz1+23, "")</f>
        <v>44370</v>
      </c>
      <c r="O19" s="56">
        <f>IF(AND(YEAR(HazPaz1+24)=Yıl,MONTH(HazPaz1+24)=6),HazPaz1+24, "")</f>
        <v>44371</v>
      </c>
      <c r="P19" s="56">
        <f>IF(AND(YEAR(HazPaz1+25)=Yıl,MONTH(HazPaz1+25)=6),HazPaz1+25, "")</f>
        <v>44372</v>
      </c>
      <c r="Q19" s="57">
        <f>IF(AND(YEAR(HazPaz1+26)=Yıl,MONTH(HazPaz1+26)=6),HazPaz1+26, "")</f>
        <v>44373</v>
      </c>
      <c r="R19" s="58">
        <f>IF(AND(YEAR(HazPaz1+27)=Yıl,MONTH(HazPaz1+27)=6),HazPaz1+27, "")</f>
        <v>44374</v>
      </c>
      <c r="S19" s="53"/>
      <c r="T19" s="55">
        <f>IF(AND(YEAR(TemPaz1+21)=Yıl,MONTH(TemPaz1+21)=7),TemPaz1+21, "")</f>
        <v>44396</v>
      </c>
      <c r="U19" s="56">
        <f>IF(AND(YEAR(TemPaz1+22)=Yıl,MONTH(TemPaz1+22)=7),TemPaz1+22, "")</f>
        <v>44397</v>
      </c>
      <c r="V19" s="56">
        <f>IF(AND(YEAR(TemPaz1+23)=Yıl,MONTH(TemPaz1+23)=7),TemPaz1+23, "")</f>
        <v>44398</v>
      </c>
      <c r="W19" s="56">
        <f>IF(AND(YEAR(TemPaz1+24)=Yıl,MONTH(TemPaz1+24)=7),TemPaz1+24, "")</f>
        <v>44399</v>
      </c>
      <c r="X19" s="56">
        <f>IF(AND(YEAR(TemPaz1+25)=Yıl,MONTH(TemPaz1+25)=7),TemPaz1+25, "")</f>
        <v>44400</v>
      </c>
      <c r="Y19" s="57">
        <f>IF(AND(YEAR(TemPaz1+26)=Yıl,MONTH(TemPaz1+26)=7),TemPaz1+26, "")</f>
        <v>44401</v>
      </c>
      <c r="Z19" s="58">
        <f>IF(AND(YEAR(TemPaz1+27)=Yıl,MONTH(TemPaz1+27)=7),TemPaz1+27, "")</f>
        <v>44402</v>
      </c>
      <c r="AA19" s="53"/>
      <c r="AB19" s="56">
        <f>IF(AND(YEAR(AğuPaz1+21)=Yıl,MONTH(AğuPaz1+21)=8),AğuPaz1+21, "")</f>
        <v>44424</v>
      </c>
      <c r="AC19" s="56">
        <f>IF(AND(YEAR(AğuPaz1+22)=Yıl,MONTH(AğuPaz1+22)=8),AğuPaz1+22, "")</f>
        <v>44425</v>
      </c>
      <c r="AD19" s="56">
        <f>IF(AND(YEAR(AğuPaz1+23)=Yıl,MONTH(AğuPaz1+23)=8),AğuPaz1+23, "")</f>
        <v>44426</v>
      </c>
      <c r="AE19" s="56">
        <f>IF(AND(YEAR(AğuPaz1+24)=Yıl,MONTH(AğuPaz1+24)=8),AğuPaz1+24, "")</f>
        <v>44427</v>
      </c>
      <c r="AF19" s="56">
        <f>IF(AND(YEAR(AğuPaz1+25)=Yıl,MONTH(AğuPaz1+25)=8),AğuPaz1+25, "")</f>
        <v>44428</v>
      </c>
      <c r="AG19" s="57">
        <f>IF(AND(YEAR(AğuPaz1+26)=Yıl,MONTH(AğuPaz1+26)=8),AğuPaz1+26, "")</f>
        <v>44429</v>
      </c>
      <c r="AH19" s="58">
        <f>IF(AND(YEAR(AğuPaz1+27)=Yıl,MONTH(AğuPaz1+27)=8),AğuPaz1+27, "")</f>
        <v>44430</v>
      </c>
      <c r="AN19" s="37">
        <f t="shared" ref="AN19:AP23" si="1">IF(H8=INT(1),"",99)</f>
        <v>99</v>
      </c>
      <c r="AO19" s="37">
        <f t="shared" si="1"/>
        <v>99</v>
      </c>
      <c r="AP19" s="37">
        <f t="shared" si="1"/>
        <v>99</v>
      </c>
    </row>
    <row r="20" spans="1:80" ht="12.95" customHeight="1" x14ac:dyDescent="0.2">
      <c r="D20" s="59">
        <f>IF(AND(YEAR(MayPaz1+28)=Yıl,MONTH(MayPaz1+28)=5),MayPaz1+28, "")</f>
        <v>44340</v>
      </c>
      <c r="E20" s="60">
        <f>IF(AND(YEAR(MayPaz1+29)=Yıl,MONTH(MayPaz1+29)=5),MayPaz1+29, "")</f>
        <v>44341</v>
      </c>
      <c r="F20" s="60">
        <f>IF(AND(YEAR(MayPaz1+30)=Yıl,MONTH(MayPaz1+30)=5),MayPaz1+30, "")</f>
        <v>44342</v>
      </c>
      <c r="G20" s="60">
        <f>IF(AND(YEAR(MayPaz1+31)=Yıl,MONTH(MayPaz1+31)=5),MayPaz1+31, "")</f>
        <v>44343</v>
      </c>
      <c r="H20" s="60">
        <f>IF(AND(YEAR(MayPaz1+32)=Yıl,MONTH(MayPaz1+32)=5),MayPaz1+32, "")</f>
        <v>44344</v>
      </c>
      <c r="I20" s="61">
        <f>IF(AND(YEAR(MayPaz1+33)=Yıl,MONTH(MayPaz1+33)=5),MayPaz1+33, "")</f>
        <v>44345</v>
      </c>
      <c r="J20" s="62">
        <f>IF(AND(YEAR(MayPaz1+34)=Yıl,MONTH(MayPaz1+34)=5),MayPaz1+34, "")</f>
        <v>44346</v>
      </c>
      <c r="K20" s="53"/>
      <c r="L20" s="59">
        <f>IF(AND(YEAR(HazPaz1+28)=Yıl,MONTH(HazPaz1+28)=6),HazPaz1+28, "")</f>
        <v>44375</v>
      </c>
      <c r="M20" s="60">
        <f>IF(AND(YEAR(HazPaz1+29)=Yıl,MONTH(HazPaz1+29)=6),HazPaz1+29, "")</f>
        <v>44376</v>
      </c>
      <c r="N20" s="60">
        <f>IF(AND(YEAR(HazPaz1+30)=Yıl,MONTH(HazPaz1+30)=6),HazPaz1+30, "")</f>
        <v>44377</v>
      </c>
      <c r="O20" s="60" t="str">
        <f>IF(AND(YEAR(HazPaz1+31)=Yıl,MONTH(HazPaz1+31)=6),HazPaz1+31, "")</f>
        <v/>
      </c>
      <c r="P20" s="60" t="str">
        <f>IF(AND(YEAR(HazPaz1+32)=Yıl,MONTH(HazPaz1+32)=6),HazPaz1+32, "")</f>
        <v/>
      </c>
      <c r="Q20" s="61" t="str">
        <f>IF(AND(YEAR(HazPaz1+33)=Yıl,MONTH(HazPaz1+33)=6),HazPaz1+33, "")</f>
        <v/>
      </c>
      <c r="R20" s="62" t="str">
        <f>IF(AND(YEAR(HazPaz1+34)=Yıl,MONTH(HazPaz1+34)=6),HazPaz1+34, "")</f>
        <v/>
      </c>
      <c r="S20" s="53"/>
      <c r="T20" s="59">
        <f>IF(AND(YEAR(TemPaz1+28)=Yıl,MONTH(TemPaz1+28)=7),TemPaz1+28, "")</f>
        <v>44403</v>
      </c>
      <c r="U20" s="60">
        <f>IF(AND(YEAR(TemPaz1+29)=Yıl,MONTH(TemPaz1+29)=7),TemPaz1+29, "")</f>
        <v>44404</v>
      </c>
      <c r="V20" s="60">
        <f>IF(AND(YEAR(TemPaz1+30)=Yıl,MONTH(TemPaz1+30)=7),TemPaz1+30, "")</f>
        <v>44405</v>
      </c>
      <c r="W20" s="60">
        <f>IF(AND(YEAR(TemPaz1+31)=Yıl,MONTH(TemPaz1+31)=7),TemPaz1+31, "")</f>
        <v>44406</v>
      </c>
      <c r="X20" s="60">
        <f>IF(AND(YEAR(TemPaz1+32)=Yıl,MONTH(TemPaz1+32)=7),TemPaz1+32, "")</f>
        <v>44407</v>
      </c>
      <c r="Y20" s="61">
        <f>IF(AND(YEAR(TemPaz1+33)=Yıl,MONTH(TemPaz1+33)=7),TemPaz1+33, "")</f>
        <v>44408</v>
      </c>
      <c r="Z20" s="62" t="str">
        <f>IF(AND(YEAR(TemPaz1+34)=Yıl,MONTH(TemPaz1+34)=7),TemPaz1+34, "")</f>
        <v/>
      </c>
      <c r="AA20" s="53"/>
      <c r="AB20" s="59">
        <f>IF(AND(YEAR(AğuPaz1+28)=Yıl,MONTH(AğuPaz1+28)=8),AğuPaz1+28, "")</f>
        <v>44431</v>
      </c>
      <c r="AC20" s="60">
        <f>IF(AND(YEAR(AğuPaz1+29)=Yıl,MONTH(AğuPaz1+29)=8),AğuPaz1+29, "")</f>
        <v>44432</v>
      </c>
      <c r="AD20" s="60">
        <f>IF(AND(YEAR(AğuPaz1+30)=Yıl,MONTH(AğuPaz1+30)=8),AğuPaz1+30, "")</f>
        <v>44433</v>
      </c>
      <c r="AE20" s="60">
        <f>IF(AND(YEAR(AğuPaz1+31)=Yıl,MONTH(AğuPaz1+31)=8),AğuPaz1+31, "")</f>
        <v>44434</v>
      </c>
      <c r="AF20" s="60">
        <f>IF(AND(YEAR(AğuPaz1+32)=Yıl,MONTH(AğuPaz1+32)=8),AğuPaz1+32, "")</f>
        <v>44435</v>
      </c>
      <c r="AG20" s="61">
        <f>IF(AND(YEAR(AğuPaz1+33)=Yıl,MONTH(AğuPaz1+33)=8),AğuPaz1+33, "")</f>
        <v>44436</v>
      </c>
      <c r="AH20" s="62">
        <f>IF(AND(YEAR(AğuPaz1+34)=Yıl,MONTH(AğuPaz1+34)=8),AğuPaz1+34, "")</f>
        <v>44437</v>
      </c>
      <c r="AN20" s="37">
        <f t="shared" si="1"/>
        <v>99</v>
      </c>
      <c r="AO20" s="37">
        <f t="shared" si="1"/>
        <v>99</v>
      </c>
      <c r="AP20" s="37">
        <f t="shared" si="1"/>
        <v>99</v>
      </c>
    </row>
    <row r="21" spans="1:80" ht="12.95" customHeight="1" x14ac:dyDescent="0.2">
      <c r="A21" s="54"/>
      <c r="D21" s="64">
        <f>IF(AND(YEAR(MayPaz1+35)=Yıl,MONTH(MayPaz1+35)=5),MayPaz1+35, "")</f>
        <v>44347</v>
      </c>
      <c r="E21" s="65" t="str">
        <f>IF(AND(YEAR(MayPaz1+36)=Yıl,MONTH(MayPaz1+36)=5),MayPaz1+36, "")</f>
        <v/>
      </c>
      <c r="F21" s="65" t="str">
        <f>IF(AND(YEAR(MayPaz1+37)=Yıl,MONTH(MayPaz1+37)=5),MayPaz1+37, "")</f>
        <v/>
      </c>
      <c r="G21" s="65" t="str">
        <f>IF(AND(YEAR(MayPaz1+38)=Yıl,MONTH(MayPaz1+38)=5),MayPaz1+38, "")</f>
        <v/>
      </c>
      <c r="H21" s="65" t="str">
        <f>IF(AND(YEAR(MayPaz1+39)=Yıl,MONTH(MayPaz1+39)=5),MayPaz1+39, "")</f>
        <v/>
      </c>
      <c r="I21" s="66" t="str">
        <f>IF(AND(YEAR(MayPaz1+40)=Yıl,MONTH(MayPaz1+40)=5),MayPaz1+40, "")</f>
        <v/>
      </c>
      <c r="J21" s="67" t="str">
        <f>IF(AND(YEAR(MayPaz1+41)=Yıl,MONTH(MayPaz1+41)=5),MayPaz1+41, "")</f>
        <v/>
      </c>
      <c r="K21" s="53"/>
      <c r="L21" s="64" t="str">
        <f>IF(AND(YEAR(HazPaz1+35)=Yıl,MONTH(HazPaz1+35)=6),HazPaz1+35, "")</f>
        <v/>
      </c>
      <c r="M21" s="65" t="str">
        <f>IF(AND(YEAR(HazPaz1+36)=Yıl,MONTH(HazPaz1+36)=6),HazPaz1+36, "")</f>
        <v/>
      </c>
      <c r="N21" s="65" t="str">
        <f>IF(AND(YEAR(HazPaz1+37)=Yıl,MONTH(HazPaz1+37)=6),HazPaz1+37, "")</f>
        <v/>
      </c>
      <c r="O21" s="65" t="str">
        <f>IF(AND(YEAR(HazPaz1+38)=Yıl,MONTH(HazPaz1+38)=6),HazPaz1+38, "")</f>
        <v/>
      </c>
      <c r="P21" s="65" t="str">
        <f>IF(AND(YEAR(HazPaz1+39)=Yıl,MONTH(HazPaz1+39)=6),HazPaz1+39, "")</f>
        <v/>
      </c>
      <c r="Q21" s="66" t="str">
        <f>IF(AND(YEAR(HazPaz1+40)=Yıl,MONTH(HazPaz1+40)=6),HazPaz1+40, "")</f>
        <v/>
      </c>
      <c r="R21" s="67" t="str">
        <f>IF(AND(YEAR(HazPaz1+41)=Yıl,MONTH(HazPaz1+41)=6),HazPaz1+41, "")</f>
        <v/>
      </c>
      <c r="S21" s="53"/>
      <c r="T21" s="64" t="str">
        <f>IF(AND(YEAR(TemPaz1+35)=Yıl,MONTH(TemPaz1+35)=7),TemPaz1+35, "")</f>
        <v/>
      </c>
      <c r="U21" s="65" t="str">
        <f>IF(AND(YEAR(TemPaz1+36)=Yıl,MONTH(TemPaz1+36)=7),TemPaz1+36, "")</f>
        <v/>
      </c>
      <c r="V21" s="65" t="str">
        <f>IF(AND(YEAR(TemPaz1+37)=Yıl,MONTH(TemPaz1+37)=7),TemPaz1+37, "")</f>
        <v/>
      </c>
      <c r="W21" s="65" t="str">
        <f>IF(AND(YEAR(TemPaz1+38)=Yıl,MONTH(TemPaz1+38)=7),TemPaz1+38, "")</f>
        <v/>
      </c>
      <c r="X21" s="65" t="str">
        <f>IF(AND(YEAR(TemPaz1+39)=Yıl,MONTH(TemPaz1+39)=7),TemPaz1+39, "")</f>
        <v/>
      </c>
      <c r="Y21" s="66" t="str">
        <f>IF(AND(YEAR(TemPaz1+40)=Yıl,MONTH(TemPaz1+40)=7),TemPaz1+40, "")</f>
        <v/>
      </c>
      <c r="Z21" s="67" t="str">
        <f>IF(AND(YEAR(TemPaz1+41)=Yıl,MONTH(TemPaz1+41)=7),TemPaz1+41, "")</f>
        <v/>
      </c>
      <c r="AA21" s="53"/>
      <c r="AB21" s="64">
        <f>IF(AND(YEAR(AğuPaz1+35)=Yıl,MONTH(AğuPaz1+35)=8),AğuPaz1+35, "")</f>
        <v>44438</v>
      </c>
      <c r="AC21" s="65">
        <f>IF(AND(YEAR(AğuPaz1+36)=Yıl,MONTH(AğuPaz1+36)=8),AğuPaz1+36, "")</f>
        <v>44439</v>
      </c>
      <c r="AD21" s="65" t="str">
        <f>IF(AND(YEAR(AğuPaz1+37)=Yıl,MONTH(AğuPaz1+37)=8),AğuPaz1+37, "")</f>
        <v/>
      </c>
      <c r="AE21" s="65" t="str">
        <f>IF(AND(YEAR(AğuPaz1+38)=Yıl,MONTH(AğuPaz1+38)=8),AğuPaz1+38, "")</f>
        <v/>
      </c>
      <c r="AF21" s="65" t="str">
        <f>IF(AND(YEAR(AğuPaz1+39)=Yıl,MONTH(AğuPaz1+39)=8),AğuPaz1+39, "")</f>
        <v/>
      </c>
      <c r="AG21" s="66" t="str">
        <f>IF(AND(YEAR(AğuPaz1+40)=Yıl,MONTH(AğuPaz1+40)=8),AğuPaz1+40, "")</f>
        <v/>
      </c>
      <c r="AH21" s="67" t="str">
        <f>IF(AND(YEAR(AğuPaz1+41)=Yıl,MONTH(AğuPaz1+41)=8),AğuPaz1+41, "")</f>
        <v/>
      </c>
      <c r="AN21" s="37">
        <f t="shared" si="1"/>
        <v>99</v>
      </c>
      <c r="AO21" s="37">
        <f t="shared" si="1"/>
        <v>99</v>
      </c>
      <c r="AP21" s="37">
        <f t="shared" si="1"/>
        <v>99</v>
      </c>
    </row>
    <row r="22" spans="1:80" ht="9.9499999999999993" customHeight="1" x14ac:dyDescent="0.2">
      <c r="C22" s="53"/>
      <c r="D22" s="68"/>
      <c r="E22" s="68"/>
      <c r="F22" s="68"/>
      <c r="G22" s="68"/>
      <c r="H22" s="68"/>
      <c r="I22" s="69"/>
      <c r="J22" s="69"/>
      <c r="K22" s="53"/>
      <c r="L22" s="70"/>
      <c r="M22" s="70"/>
      <c r="N22" s="70"/>
      <c r="O22" s="70"/>
      <c r="P22" s="70"/>
      <c r="Q22" s="71"/>
      <c r="R22" s="71"/>
      <c r="S22" s="53"/>
      <c r="T22" s="68"/>
      <c r="U22" s="68"/>
      <c r="V22" s="68"/>
      <c r="W22" s="68"/>
      <c r="X22" s="68"/>
      <c r="Y22" s="69"/>
      <c r="Z22" s="69"/>
      <c r="AA22" s="53"/>
      <c r="AB22" s="68"/>
      <c r="AC22" s="68"/>
      <c r="AD22" s="68"/>
      <c r="AE22" s="68"/>
      <c r="AF22" s="68"/>
      <c r="AG22" s="69"/>
      <c r="AH22" s="69"/>
      <c r="AI22" s="53"/>
      <c r="AN22" s="37">
        <f t="shared" si="1"/>
        <v>99</v>
      </c>
      <c r="AO22" s="37">
        <f t="shared" si="1"/>
        <v>99</v>
      </c>
      <c r="AP22" s="37">
        <f t="shared" si="1"/>
        <v>99</v>
      </c>
    </row>
    <row r="23" spans="1:80" s="43" customFormat="1" ht="24" customHeight="1" x14ac:dyDescent="0.3">
      <c r="D23" s="125" t="s">
        <v>48</v>
      </c>
      <c r="E23" s="125"/>
      <c r="F23" s="125"/>
      <c r="G23" s="125"/>
      <c r="H23" s="125"/>
      <c r="I23" s="125"/>
      <c r="J23" s="125"/>
      <c r="K23" s="44"/>
      <c r="L23" s="125" t="s">
        <v>49</v>
      </c>
      <c r="M23" s="125"/>
      <c r="N23" s="125"/>
      <c r="O23" s="125"/>
      <c r="P23" s="125"/>
      <c r="Q23" s="125"/>
      <c r="R23" s="125"/>
      <c r="S23" s="44"/>
      <c r="T23" s="125" t="s">
        <v>50</v>
      </c>
      <c r="U23" s="125"/>
      <c r="V23" s="125"/>
      <c r="W23" s="125"/>
      <c r="X23" s="125"/>
      <c r="Y23" s="125"/>
      <c r="Z23" s="125"/>
      <c r="AA23" s="44"/>
      <c r="AB23" s="125" t="s">
        <v>51</v>
      </c>
      <c r="AC23" s="125"/>
      <c r="AD23" s="125"/>
      <c r="AE23" s="125"/>
      <c r="AF23" s="125"/>
      <c r="AG23" s="125"/>
      <c r="AH23" s="125"/>
      <c r="AN23" s="37">
        <f t="shared" si="1"/>
        <v>99</v>
      </c>
      <c r="AO23" s="37">
        <f t="shared" si="1"/>
        <v>99</v>
      </c>
      <c r="AP23" s="37">
        <f t="shared" si="1"/>
        <v>99</v>
      </c>
    </row>
    <row r="24" spans="1:80" ht="12.95" customHeight="1" x14ac:dyDescent="0.2">
      <c r="C24" s="46"/>
      <c r="D24" s="47" t="s">
        <v>37</v>
      </c>
      <c r="E24" s="47" t="s">
        <v>38</v>
      </c>
      <c r="F24" s="47" t="s">
        <v>39</v>
      </c>
      <c r="G24" s="47" t="s">
        <v>40</v>
      </c>
      <c r="H24" s="47" t="s">
        <v>41</v>
      </c>
      <c r="I24" s="47" t="s">
        <v>42</v>
      </c>
      <c r="J24" s="47" t="s">
        <v>43</v>
      </c>
      <c r="K24" s="48"/>
      <c r="L24" s="47" t="s">
        <v>37</v>
      </c>
      <c r="M24" s="47" t="s">
        <v>38</v>
      </c>
      <c r="N24" s="47" t="s">
        <v>39</v>
      </c>
      <c r="O24" s="47" t="s">
        <v>40</v>
      </c>
      <c r="P24" s="47" t="s">
        <v>41</v>
      </c>
      <c r="Q24" s="47" t="s">
        <v>42</v>
      </c>
      <c r="R24" s="47" t="s">
        <v>43</v>
      </c>
      <c r="S24" s="38"/>
      <c r="T24" s="47" t="s">
        <v>37</v>
      </c>
      <c r="U24" s="47" t="s">
        <v>38</v>
      </c>
      <c r="V24" s="47" t="s">
        <v>39</v>
      </c>
      <c r="W24" s="47" t="s">
        <v>40</v>
      </c>
      <c r="X24" s="47" t="s">
        <v>41</v>
      </c>
      <c r="Y24" s="47" t="s">
        <v>42</v>
      </c>
      <c r="Z24" s="47" t="s">
        <v>43</v>
      </c>
      <c r="AA24" s="38"/>
      <c r="AB24" s="47" t="s">
        <v>37</v>
      </c>
      <c r="AC24" s="47" t="s">
        <v>38</v>
      </c>
      <c r="AD24" s="47" t="s">
        <v>39</v>
      </c>
      <c r="AE24" s="47" t="s">
        <v>40</v>
      </c>
      <c r="AF24" s="47" t="s">
        <v>41</v>
      </c>
      <c r="AG24" s="47" t="s">
        <v>42</v>
      </c>
      <c r="AH24" s="47" t="s">
        <v>43</v>
      </c>
    </row>
    <row r="25" spans="1:80" ht="12.95" customHeight="1" x14ac:dyDescent="0.2">
      <c r="D25" s="49" t="str">
        <f>IF(AND(YEAR(EylPaz1)=Yıl,MONTH(EylPaz1)=9),EylPaz1, "")</f>
        <v/>
      </c>
      <c r="E25" s="50" t="str">
        <f>IF(AND(YEAR(EylPaz1+1)=Yıl,MONTH(EylPaz1+1)=9),EylPaz1+1, "")</f>
        <v/>
      </c>
      <c r="F25" s="50">
        <f>IF(AND(YEAR(EylPaz1+2)=Yıl,MONTH(EylPaz1+2)=9),EylPaz1+2, "")</f>
        <v>44440</v>
      </c>
      <c r="G25" s="50">
        <f>IF(AND(YEAR(EylPaz1+3)=Yıl,MONTH(EylPaz1+3)=9),EylPaz1+3, "")</f>
        <v>44441</v>
      </c>
      <c r="H25" s="50">
        <f>IF(AND(YEAR(EylPaz1+4)=Yıl,MONTH(EylPaz1+4)=9),EylPaz1+4, "")</f>
        <v>44442</v>
      </c>
      <c r="I25" s="51">
        <f>IF(AND(YEAR(EylPaz1+5)=Yıl,MONTH(EylPaz1+5)=9),EylPaz1+5, "")</f>
        <v>44443</v>
      </c>
      <c r="J25" s="52">
        <f>IF(AND(YEAR(EylPaz1+6)=Yıl,MONTH(EylPaz1+6)=9),EylPaz1+6, "")</f>
        <v>44444</v>
      </c>
      <c r="K25" s="53"/>
      <c r="L25" s="49" t="str">
        <f>IF(AND(YEAR(EkiPaz1)=Yıl,MONTH(EkiPaz1)=10),EkiPaz1, "")</f>
        <v/>
      </c>
      <c r="M25" s="50" t="str">
        <f>IF(AND(YEAR(EkiPaz1+1)=Yıl,MONTH(EkiPaz1+1)=10),EkiPaz1+1, "")</f>
        <v/>
      </c>
      <c r="N25" s="50" t="str">
        <f>IF(AND(YEAR(EkiPaz1+2)=Yıl,MONTH(EkiPaz1+2)=10),EkiPaz1+2, "")</f>
        <v/>
      </c>
      <c r="O25" s="50" t="str">
        <f>IF(AND(YEAR(EkiPaz1+3)=Yıl,MONTH(EkiPaz1+3)=10),EkiPaz1+3, "")</f>
        <v/>
      </c>
      <c r="P25" s="50">
        <f>IF(AND(YEAR(EkiPaz1+4)=Yıl,MONTH(EkiPaz1+4)=10),EkiPaz1+4, "")</f>
        <v>44470</v>
      </c>
      <c r="Q25" s="51">
        <f>IF(AND(YEAR(EkiPaz1+5)=Yıl,MONTH(EkiPaz1+5)=10),EkiPaz1+5, "")</f>
        <v>44471</v>
      </c>
      <c r="R25" s="52">
        <f>IF(AND(YEAR(EkiPaz1+6)=Yıl,MONTH(EkiPaz1+6)=10),EkiPaz1+6, "")</f>
        <v>44472</v>
      </c>
      <c r="T25" s="49">
        <f>IF(AND(YEAR(KasPaz1)=Yıl,MONTH(KasPaz1)=11),KasPaz1, "")</f>
        <v>44501</v>
      </c>
      <c r="U25" s="50">
        <f>IF(AND(YEAR(KasPaz1+1)=Yıl,MONTH(KasPaz1+1)=11),KasPaz1+1, "")</f>
        <v>44502</v>
      </c>
      <c r="V25" s="50">
        <f>IF(AND(YEAR(KasPaz1+2)=Yıl,MONTH(KasPaz1+2)=11),KasPaz1+2, "")</f>
        <v>44503</v>
      </c>
      <c r="W25" s="50">
        <f>IF(AND(YEAR(KasPaz1+3)=Yıl,MONTH(KasPaz1+3)=11),KasPaz1+3, "")</f>
        <v>44504</v>
      </c>
      <c r="X25" s="50">
        <f>IF(AND(YEAR(KasPaz1+4)=Yıl,MONTH(KasPaz1+4)=11),KasPaz1+4, "")</f>
        <v>44505</v>
      </c>
      <c r="Y25" s="51">
        <f>IF(AND(YEAR(KasPaz1+5)=Yıl,MONTH(KasPaz1+5)=11),KasPaz1+5, "")</f>
        <v>44506</v>
      </c>
      <c r="Z25" s="52">
        <f>IF(AND(YEAR(KasPaz1+6)=Yıl,MONTH(KasPaz1+6)=11),KasPaz1+6, "")</f>
        <v>44507</v>
      </c>
      <c r="AB25" s="49" t="str">
        <f>IF(AND(YEAR(AraPaz1)=Yıl,MONTH(AraPaz1)=12),AraPaz1, "")</f>
        <v/>
      </c>
      <c r="AC25" s="50" t="str">
        <f>IF(AND(YEAR(AraPaz1+1)=Yıl,MONTH(AraPaz1+1)=12),AraPaz1+1, "")</f>
        <v/>
      </c>
      <c r="AD25" s="50">
        <f>IF(AND(YEAR(AraPaz1+2)=Yıl,MONTH(AraPaz1+2)=12),AraPaz1+2, "")</f>
        <v>44531</v>
      </c>
      <c r="AE25" s="50">
        <f>IF(AND(YEAR(AraPaz1+3)=Yıl,MONTH(AraPaz1+3)=12),AraPaz1+3, "")</f>
        <v>44532</v>
      </c>
      <c r="AF25" s="50">
        <f>IF(AND(YEAR(AraPaz1+4)=Yıl,MONTH(AraPaz1+4)=12),AraPaz1+4, "")</f>
        <v>44533</v>
      </c>
      <c r="AG25" s="51">
        <f>IF(AND(YEAR(AraPaz1+5)=Yıl,MONTH(AraPaz1+5)=12),AraPaz1+5, "")</f>
        <v>44534</v>
      </c>
      <c r="AH25" s="52">
        <f>IF(AND(YEAR(AraPaz1+6)=Yıl,MONTH(AraPaz1+6)=12),AraPaz1+6, "")</f>
        <v>44535</v>
      </c>
    </row>
    <row r="26" spans="1:80" ht="12.95" customHeight="1" x14ac:dyDescent="0.2">
      <c r="A26" s="54"/>
      <c r="D26" s="55">
        <f>IF(AND(YEAR(EylPaz1+7)=Yıl,MONTH(EylPaz1+7)=9),EylPaz1+7, "")</f>
        <v>44445</v>
      </c>
      <c r="E26" s="56">
        <f>IF(AND(YEAR(EylPaz1+8)=Yıl,MONTH(EylPaz1+8)=9),EylPaz1+8, "")</f>
        <v>44446</v>
      </c>
      <c r="F26" s="56">
        <f>IF(AND(YEAR(EylPaz1+9)=Yıl,MONTH(EylPaz1+9)=9),EylPaz1+9, "")</f>
        <v>44447</v>
      </c>
      <c r="G26" s="56">
        <f>IF(AND(YEAR(EylPaz1+10)=Yıl,MONTH(EylPaz1+10)=9),EylPaz1+10, "")</f>
        <v>44448</v>
      </c>
      <c r="H26" s="56">
        <f>IF(AND(YEAR(EylPaz1+11)=Yıl,MONTH(EylPaz1+11)=9),EylPaz1+11, "")</f>
        <v>44449</v>
      </c>
      <c r="I26" s="57">
        <f>IF(AND(YEAR(EylPaz1+12)=Yıl,MONTH(EylPaz1+12)=9),EylPaz1+12, "")</f>
        <v>44450</v>
      </c>
      <c r="J26" s="58">
        <f>IF(AND(YEAR(EylPaz1+13)=Yıl,MONTH(EylPaz1+13)=9),EylPaz1+13, "")</f>
        <v>44451</v>
      </c>
      <c r="K26" s="53"/>
      <c r="L26" s="55">
        <f>IF(AND(YEAR(EkiPaz1+7)=Yıl,MONTH(EkiPaz1+7)=10),EkiPaz1+7, "")</f>
        <v>44473</v>
      </c>
      <c r="M26" s="56">
        <f>IF(AND(YEAR(EkiPaz1+8)=Yıl,MONTH(EkiPaz1+8)=10),EkiPaz1+8, "")</f>
        <v>44474</v>
      </c>
      <c r="N26" s="56">
        <f>IF(AND(YEAR(EkiPaz1+9)=Yıl,MONTH(EkiPaz1+9)=10),EkiPaz1+9, "")</f>
        <v>44475</v>
      </c>
      <c r="O26" s="56">
        <f>IF(AND(YEAR(EkiPaz1+10)=Yıl,MONTH(EkiPaz1+10)=10),EkiPaz1+10, "")</f>
        <v>44476</v>
      </c>
      <c r="P26" s="56">
        <f>IF(AND(YEAR(EkiPaz1+11)=Yıl,MONTH(EkiPaz1+11)=10),EkiPaz1+11, "")</f>
        <v>44477</v>
      </c>
      <c r="Q26" s="57">
        <f>IF(AND(YEAR(EkiPaz1+12)=Yıl,MONTH(EkiPaz1+12)=10),EkiPaz1+12, "")</f>
        <v>44478</v>
      </c>
      <c r="R26" s="58">
        <f>IF(AND(YEAR(EkiPaz1+13)=Yıl,MONTH(EkiPaz1+13)=10),EkiPaz1+13, "")</f>
        <v>44479</v>
      </c>
      <c r="T26" s="55">
        <f>IF(AND(YEAR(KasPaz1+7)=Yıl,MONTH(KasPaz1+7)=11),KasPaz1+7, "")</f>
        <v>44508</v>
      </c>
      <c r="U26" s="56">
        <f>IF(AND(YEAR(KasPaz1+8)=Yıl,MONTH(KasPaz1+8)=11),KasPaz1+8, "")</f>
        <v>44509</v>
      </c>
      <c r="V26" s="56">
        <f>IF(AND(YEAR(KasPaz1+9)=Yıl,MONTH(KasPaz1+9)=11),KasPaz1+9, "")</f>
        <v>44510</v>
      </c>
      <c r="W26" s="56">
        <f>IF(AND(YEAR(KasPaz1+10)=Yıl,MONTH(KasPaz1+10)=11),KasPaz1+10, "")</f>
        <v>44511</v>
      </c>
      <c r="X26" s="56">
        <f>IF(AND(YEAR(KasPaz1+11)=Yıl,MONTH(KasPaz1+11)=11),KasPaz1+11, "")</f>
        <v>44512</v>
      </c>
      <c r="Y26" s="57">
        <f>IF(AND(YEAR(KasPaz1+12)=Yıl,MONTH(KasPaz1+12)=11),KasPaz1+12, "")</f>
        <v>44513</v>
      </c>
      <c r="Z26" s="58">
        <f>IF(AND(YEAR(KasPaz1+13)=Yıl,MONTH(KasPaz1+13)=11),KasPaz1+13, "")</f>
        <v>44514</v>
      </c>
      <c r="AB26" s="55">
        <f>IF(AND(YEAR(AraPaz1+7)=Yıl,MONTH(AraPaz1+7)=12),AraPaz1+7, "")</f>
        <v>44536</v>
      </c>
      <c r="AC26" s="56">
        <f>IF(AND(YEAR(AraPaz1+8)=Yıl,MONTH(AraPaz1+8)=12),AraPaz1+8, "")</f>
        <v>44537</v>
      </c>
      <c r="AD26" s="56">
        <f>IF(AND(YEAR(AraPaz1+9)=Yıl,MONTH(AraPaz1+9)=12),AraPaz1+9, "")</f>
        <v>44538</v>
      </c>
      <c r="AE26" s="56">
        <f>IF(AND(YEAR(AraPaz1+10)=Yıl,MONTH(AraPaz1+10)=12),AraPaz1+10, "")</f>
        <v>44539</v>
      </c>
      <c r="AF26" s="56">
        <f>IF(AND(YEAR(AraPaz1+11)=Yıl,MONTH(AraPaz1+11)=12),AraPaz1+11, "")</f>
        <v>44540</v>
      </c>
      <c r="AG26" s="57">
        <f>IF(AND(YEAR(AraPaz1+12)=Yıl,MONTH(AraPaz1+12)=12),AraPaz1+12, "")</f>
        <v>44541</v>
      </c>
      <c r="AH26" s="58">
        <f>IF(AND(YEAR(AraPaz1+13)=Yıl,MONTH(AraPaz1+13)=12),AraPaz1+13, "")</f>
        <v>44542</v>
      </c>
      <c r="AV26" s="73">
        <v>2010</v>
      </c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</row>
    <row r="27" spans="1:80" ht="12.95" customHeight="1" x14ac:dyDescent="0.2">
      <c r="D27" s="59">
        <f>IF(AND(YEAR(EylPaz1+14)=Yıl,MONTH(EylPaz1+14)=9),EylPaz1+14, "")</f>
        <v>44452</v>
      </c>
      <c r="E27" s="60">
        <f>IF(AND(YEAR(EylPaz1+15)=Yıl,MONTH(EylPaz1+15)=9),EylPaz1+15, "")</f>
        <v>44453</v>
      </c>
      <c r="F27" s="60">
        <f>IF(AND(YEAR(EylPaz1+16)=Yıl,MONTH(EylPaz1+16)=9),EylPaz1+16, "")</f>
        <v>44454</v>
      </c>
      <c r="G27" s="60">
        <f>IF(AND(YEAR(EylPaz1+17)=Yıl,MONTH(EylPaz1+17)=9),EylPaz1+17, "")</f>
        <v>44455</v>
      </c>
      <c r="H27" s="60">
        <f>IF(AND(YEAR(EylPaz1+18)=Yıl,MONTH(EylPaz1+18)=9),EylPaz1+18, "")</f>
        <v>44456</v>
      </c>
      <c r="I27" s="61">
        <f>IF(AND(YEAR(EylPaz1+19)=Yıl,MONTH(EylPaz1+19)=9),EylPaz1+19, "")</f>
        <v>44457</v>
      </c>
      <c r="J27" s="62">
        <f>IF(AND(YEAR(EylPaz1+20)=Yıl,MONTH(EylPaz1+20)=9),EylPaz1+20, "")</f>
        <v>44458</v>
      </c>
      <c r="K27" s="53"/>
      <c r="L27" s="59">
        <f>IF(AND(YEAR(EkiPaz1+14)=Yıl,MONTH(EkiPaz1+14)=10),EkiPaz1+14, "")</f>
        <v>44480</v>
      </c>
      <c r="M27" s="60">
        <f>IF(AND(YEAR(EkiPaz1+15)=Yıl,MONTH(EkiPaz1+15)=10),EkiPaz1+15, "")</f>
        <v>44481</v>
      </c>
      <c r="N27" s="60">
        <f>IF(AND(YEAR(EkiPaz1+16)=Yıl,MONTH(EkiPaz1+16)=10),EkiPaz1+16, "")</f>
        <v>44482</v>
      </c>
      <c r="O27" s="60">
        <f>IF(AND(YEAR(EkiPaz1+17)=Yıl,MONTH(EkiPaz1+17)=10),EkiPaz1+17, "")</f>
        <v>44483</v>
      </c>
      <c r="P27" s="60">
        <f>IF(AND(YEAR(EkiPaz1+18)=Yıl,MONTH(EkiPaz1+18)=10),EkiPaz1+18, "")</f>
        <v>44484</v>
      </c>
      <c r="Q27" s="61">
        <f>IF(AND(YEAR(EkiPaz1+19)=Yıl,MONTH(EkiPaz1+19)=10),EkiPaz1+19, "")</f>
        <v>44485</v>
      </c>
      <c r="R27" s="62">
        <f>IF(AND(YEAR(EkiPaz1+20)=Yıl,MONTH(EkiPaz1+20)=10),EkiPaz1+20, "")</f>
        <v>44486</v>
      </c>
      <c r="T27" s="59">
        <f>IF(AND(YEAR(KasPaz1+14)=Yıl,MONTH(KasPaz1+14)=11),KasPaz1+14, "")</f>
        <v>44515</v>
      </c>
      <c r="U27" s="60">
        <f>IF(AND(YEAR(KasPaz1+15)=Yıl,MONTH(KasPaz1+15)=11),KasPaz1+15, "")</f>
        <v>44516</v>
      </c>
      <c r="V27" s="60">
        <f>IF(AND(YEAR(KasPaz1+16)=Yıl,MONTH(KasPaz1+16)=11),KasPaz1+16, "")</f>
        <v>44517</v>
      </c>
      <c r="W27" s="60">
        <f>IF(AND(YEAR(KasPaz1+17)=Yıl,MONTH(KasPaz1+17)=11),KasPaz1+17, "")</f>
        <v>44518</v>
      </c>
      <c r="X27" s="60">
        <f>IF(AND(YEAR(KasPaz1+18)=Yıl,MONTH(KasPaz1+18)=11),KasPaz1+18, "")</f>
        <v>44519</v>
      </c>
      <c r="Y27" s="61">
        <f>IF(AND(YEAR(KasPaz1+19)=Yıl,MONTH(KasPaz1+19)=11),KasPaz1+19, "")</f>
        <v>44520</v>
      </c>
      <c r="Z27" s="62">
        <f>IF(AND(YEAR(KasPaz1+20)=Yıl,MONTH(KasPaz1+20)=11),KasPaz1+20, "")</f>
        <v>44521</v>
      </c>
      <c r="AB27" s="59">
        <f>IF(AND(YEAR(AraPaz1+14)=Yıl,MONTH(AraPaz1+14)=12),AraPaz1+14, "")</f>
        <v>44543</v>
      </c>
      <c r="AC27" s="60">
        <f>IF(AND(YEAR(AraPaz1+15)=Yıl,MONTH(AraPaz1+15)=12),AraPaz1+15, "")</f>
        <v>44544</v>
      </c>
      <c r="AD27" s="60">
        <f>IF(AND(YEAR(AraPaz1+16)=Yıl,MONTH(AraPaz1+16)=12),AraPaz1+16, "")</f>
        <v>44545</v>
      </c>
      <c r="AE27" s="60">
        <f>IF(AND(YEAR(AraPaz1+17)=Yıl,MONTH(AraPaz1+17)=12),AraPaz1+17, "")</f>
        <v>44546</v>
      </c>
      <c r="AF27" s="60">
        <f>IF(AND(YEAR(AraPaz1+18)=Yıl,MONTH(AraPaz1+18)=12),AraPaz1+18, "")</f>
        <v>44547</v>
      </c>
      <c r="AG27" s="61">
        <f>IF(AND(YEAR(AraPaz1+19)=Yıl,MONTH(AraPaz1+19)=12),AraPaz1+19, "")</f>
        <v>44548</v>
      </c>
      <c r="AH27" s="62">
        <f>IF(AND(YEAR(AraPaz1+20)=Yıl,MONTH(AraPaz1+20)=12),AraPaz1+20, "")</f>
        <v>44549</v>
      </c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ht="12.95" customHeight="1" x14ac:dyDescent="0.2">
      <c r="A28" s="54"/>
      <c r="D28" s="55">
        <f>IF(AND(YEAR(EylPaz1+21)=Yıl,MONTH(EylPaz1+21)=9),EylPaz1+21, "")</f>
        <v>44459</v>
      </c>
      <c r="E28" s="56">
        <f>IF(AND(YEAR(EylPaz1+22)=Yıl,MONTH(EylPaz1+22)=9),EylPaz1+22, "")</f>
        <v>44460</v>
      </c>
      <c r="F28" s="56">
        <f>IF(AND(YEAR(EylPaz1+23)=Yıl,MONTH(EylPaz1+23)=9),EylPaz1+23, "")</f>
        <v>44461</v>
      </c>
      <c r="G28" s="56">
        <f>IF(AND(YEAR(EylPaz1+24)=Yıl,MONTH(EylPaz1+24)=9),EylPaz1+24, "")</f>
        <v>44462</v>
      </c>
      <c r="H28" s="56">
        <f>IF(AND(YEAR(EylPaz1+25)=Yıl,MONTH(EylPaz1+25)=9),EylPaz1+25, "")</f>
        <v>44463</v>
      </c>
      <c r="I28" s="57">
        <f>IF(AND(YEAR(EylPaz1+26)=Yıl,MONTH(EylPaz1+26)=9),EylPaz1+26, "")</f>
        <v>44464</v>
      </c>
      <c r="J28" s="58">
        <f>IF(AND(YEAR(EylPaz1+27)=Yıl,MONTH(EylPaz1+27)=9),EylPaz1+27, "")</f>
        <v>44465</v>
      </c>
      <c r="K28" s="53"/>
      <c r="L28" s="55">
        <f>IF(AND(YEAR(EkiPaz1+21)=Yıl,MONTH(EkiPaz1+21)=10),EkiPaz1+21, "")</f>
        <v>44487</v>
      </c>
      <c r="M28" s="56">
        <f>IF(AND(YEAR(EkiPaz1+22)=Yıl,MONTH(EkiPaz1+22)=10),EkiPaz1+22, "")</f>
        <v>44488</v>
      </c>
      <c r="N28" s="56">
        <f>IF(AND(YEAR(EkiPaz1+23)=Yıl,MONTH(EkiPaz1+23)=10),EkiPaz1+23, "")</f>
        <v>44489</v>
      </c>
      <c r="O28" s="56">
        <f>IF(AND(YEAR(EkiPaz1+24)=Yıl,MONTH(EkiPaz1+24)=10),EkiPaz1+24, "")</f>
        <v>44490</v>
      </c>
      <c r="P28" s="56">
        <f>IF(AND(YEAR(EkiPaz1+25)=Yıl,MONTH(EkiPaz1+25)=10),EkiPaz1+25, "")</f>
        <v>44491</v>
      </c>
      <c r="Q28" s="57">
        <f>IF(AND(YEAR(EkiPaz1+26)=Yıl,MONTH(EkiPaz1+26)=10),EkiPaz1+26, "")</f>
        <v>44492</v>
      </c>
      <c r="R28" s="58">
        <f>IF(AND(YEAR(EkiPaz1+27)=Yıl,MONTH(EkiPaz1+27)=10),EkiPaz1+27, "")</f>
        <v>44493</v>
      </c>
      <c r="T28" s="55">
        <f>IF(AND(YEAR(KasPaz1+21)=Yıl,MONTH(KasPaz1+21)=11),KasPaz1+21, "")</f>
        <v>44522</v>
      </c>
      <c r="U28" s="56">
        <f>IF(AND(YEAR(KasPaz1+22)=Yıl,MONTH(KasPaz1+22)=11),KasPaz1+22, "")</f>
        <v>44523</v>
      </c>
      <c r="V28" s="56">
        <f>IF(AND(YEAR(KasPaz1+23)=Yıl,MONTH(KasPaz1+23)=11),KasPaz1+23, "")</f>
        <v>44524</v>
      </c>
      <c r="W28" s="56">
        <f>IF(AND(YEAR(KasPaz1+24)=Yıl,MONTH(KasPaz1+24)=11),KasPaz1+24, "")</f>
        <v>44525</v>
      </c>
      <c r="X28" s="56">
        <f>IF(AND(YEAR(KasPaz1+25)=Yıl,MONTH(KasPaz1+25)=11),KasPaz1+25, "")</f>
        <v>44526</v>
      </c>
      <c r="Y28" s="57">
        <f>IF(AND(YEAR(KasPaz1+26)=Yıl,MONTH(KasPaz1+26)=11),KasPaz1+26, "")</f>
        <v>44527</v>
      </c>
      <c r="Z28" s="58">
        <f>IF(AND(YEAR(KasPaz1+27)=Yıl,MONTH(KasPaz1+27)=11),KasPaz1+27, "")</f>
        <v>44528</v>
      </c>
      <c r="AB28" s="55">
        <f>IF(AND(YEAR(AraPaz1+21)=Yıl,MONTH(AraPaz1+21)=12),AraPaz1+21, "")</f>
        <v>44550</v>
      </c>
      <c r="AC28" s="56">
        <f>IF(AND(YEAR(AraPaz1+22)=Yıl,MONTH(AraPaz1+22)=12),AraPaz1+22, "")</f>
        <v>44551</v>
      </c>
      <c r="AD28" s="56">
        <f>IF(AND(YEAR(AraPaz1+23)=Yıl,MONTH(AraPaz1+23)=12),AraPaz1+23, "")</f>
        <v>44552</v>
      </c>
      <c r="AE28" s="56">
        <f>IF(AND(YEAR(AraPaz1+24)=Yıl,MONTH(AraPaz1+24)=12),AraPaz1+24, "")</f>
        <v>44553</v>
      </c>
      <c r="AF28" s="56">
        <f>IF(AND(YEAR(AraPaz1+25)=Yıl,MONTH(AraPaz1+25)=12),AraPaz1+25, "")</f>
        <v>44554</v>
      </c>
      <c r="AG28" s="57">
        <f>IF(AND(YEAR(AraPaz1+26)=Yıl,MONTH(AraPaz1+26)=12),AraPaz1+26, "")</f>
        <v>44555</v>
      </c>
      <c r="AH28" s="58">
        <f>IF(AND(YEAR(AraPaz1+27)=Yıl,MONTH(AraPaz1+27)=12),AraPaz1+27, "")</f>
        <v>44556</v>
      </c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</row>
    <row r="29" spans="1:80" ht="12.95" customHeight="1" x14ac:dyDescent="0.2">
      <c r="D29" s="59">
        <f>IF(AND(YEAR(EylPaz1+28)=Yıl,MONTH(EylPaz1+28)=9),EylPaz1+28, "")</f>
        <v>44466</v>
      </c>
      <c r="E29" s="60">
        <f>IF(AND(YEAR(EylPaz1+29)=Yıl,MONTH(EylPaz1+29)=9),EylPaz1+29, "")</f>
        <v>44467</v>
      </c>
      <c r="F29" s="60">
        <f>IF(AND(YEAR(EylPaz1+30)=Yıl,MONTH(EylPaz1+30)=9),EylPaz1+30, "")</f>
        <v>44468</v>
      </c>
      <c r="G29" s="60">
        <f>IF(AND(YEAR(EylPaz1+31)=Yıl,MONTH(EylPaz1+31)=9),EylPaz1+31, "")</f>
        <v>44469</v>
      </c>
      <c r="H29" s="60" t="str">
        <f>IF(AND(YEAR(EylPaz1+32)=Yıl,MONTH(EylPaz1+32)=9),EylPaz1+32, "")</f>
        <v/>
      </c>
      <c r="I29" s="61" t="str">
        <f>IF(AND(YEAR(EylPaz1+33)=Yıl,MONTH(EylPaz1+33)=9),EylPaz1+33, "")</f>
        <v/>
      </c>
      <c r="J29" s="62" t="str">
        <f>IF(AND(YEAR(EylPaz1+34)=Yıl,MONTH(EylPaz1+34)=9),EylPaz1+34, "")</f>
        <v/>
      </c>
      <c r="K29" s="53"/>
      <c r="L29" s="59">
        <f>IF(AND(YEAR(EkiPaz1+28)=Yıl,MONTH(EkiPaz1+28)=10),EkiPaz1+28, "")</f>
        <v>44494</v>
      </c>
      <c r="M29" s="60">
        <f>IF(AND(YEAR(EkiPaz1+29)=Yıl,MONTH(EkiPaz1+29)=10),EkiPaz1+29, "")</f>
        <v>44495</v>
      </c>
      <c r="N29" s="60">
        <f>IF(AND(YEAR(EkiPaz1+30)=Yıl,MONTH(EkiPaz1+30)=10),EkiPaz1+30, "")</f>
        <v>44496</v>
      </c>
      <c r="O29" s="60">
        <f>IF(AND(YEAR(EkiPaz1+31)=Yıl,MONTH(EkiPaz1+31)=10),EkiPaz1+31, "")</f>
        <v>44497</v>
      </c>
      <c r="P29" s="60">
        <f>IF(AND(YEAR(EkiPaz1+32)=Yıl,MONTH(EkiPaz1+32)=10),EkiPaz1+32, "")</f>
        <v>44498</v>
      </c>
      <c r="Q29" s="61">
        <f>IF(AND(YEAR(EkiPaz1+33)=Yıl,MONTH(EkiPaz1+33)=10),EkiPaz1+33, "")</f>
        <v>44499</v>
      </c>
      <c r="R29" s="62">
        <f>IF(AND(YEAR(EkiPaz1+34)=Yıl,MONTH(EkiPaz1+34)=10),EkiPaz1+34, "")</f>
        <v>44500</v>
      </c>
      <c r="T29" s="59">
        <f>IF(AND(YEAR(KasPaz1+28)=Yıl,MONTH(KasPaz1+28)=11),KasPaz1+28, "")</f>
        <v>44529</v>
      </c>
      <c r="U29" s="60">
        <f>IF(AND(YEAR(KasPaz1+29)=Yıl,MONTH(KasPaz1+29)=11),KasPaz1+29, "")</f>
        <v>44530</v>
      </c>
      <c r="V29" s="60" t="str">
        <f>IF(AND(YEAR(KasPaz1+30)=Yıl,MONTH(KasPaz1+30)=11),KasPaz1+30, "")</f>
        <v/>
      </c>
      <c r="W29" s="60" t="str">
        <f>IF(AND(YEAR(KasPaz1+31)=Yıl,MONTH(KasPaz1+31)=11),KasPaz1+31, "")</f>
        <v/>
      </c>
      <c r="X29" s="60" t="str">
        <f>IF(AND(YEAR(KasPaz1+32)=Yıl,MONTH(KasPaz1+32)=11),KasPaz1+32, "")</f>
        <v/>
      </c>
      <c r="Y29" s="61" t="str">
        <f>IF(AND(YEAR(KasPaz1+33)=Yıl,MONTH(KasPaz1+33)=11),KasPaz1+33, "")</f>
        <v/>
      </c>
      <c r="Z29" s="62" t="str">
        <f>IF(AND(YEAR(KasPaz1+34)=Yıl,MONTH(KasPaz1+34)=11),KasPaz1+34, "")</f>
        <v/>
      </c>
      <c r="AB29" s="59">
        <f>IF(AND(YEAR(AraPaz1+28)=Yıl,MONTH(AraPaz1+28)=12),AraPaz1+28, "")</f>
        <v>44557</v>
      </c>
      <c r="AC29" s="60">
        <f>IF(AND(YEAR(AraPaz1+29)=Yıl,MONTH(AraPaz1+29)=12),AraPaz1+29, "")</f>
        <v>44558</v>
      </c>
      <c r="AD29" s="60">
        <f>IF(AND(YEAR(AraPaz1+30)=Yıl,MONTH(AraPaz1+30)=12),AraPaz1+30, "")</f>
        <v>44559</v>
      </c>
      <c r="AE29" s="60">
        <f>IF(AND(YEAR(AraPaz1+31)=Yıl,MONTH(AraPaz1+31)=12),AraPaz1+31, "")</f>
        <v>44560</v>
      </c>
      <c r="AF29" s="60">
        <f>IF(AND(YEAR(AraPaz1+32)=Yıl,MONTH(AraPaz1+32)=12),AraPaz1+32, "")</f>
        <v>44561</v>
      </c>
      <c r="AG29" s="61" t="str">
        <f>IF(AND(YEAR(AraPaz1+33)=Yıl,MONTH(AraPaz1+33)=12),AraPaz1+33, "")</f>
        <v/>
      </c>
      <c r="AH29" s="62" t="str">
        <f>IF(AND(YEAR(AraPaz1+34)=Yıl,MONTH(AraPaz1+34)=12),AraPaz1+34, "")</f>
        <v/>
      </c>
      <c r="AT29" s="63"/>
    </row>
    <row r="30" spans="1:80" ht="12.95" customHeight="1" x14ac:dyDescent="0.2">
      <c r="A30" s="54"/>
      <c r="D30" s="64" t="str">
        <f>IF(AND(YEAR(EylPaz1+35)=Yıl,MONTH(EylPaz1+35)=9),EylPaz1+35, "")</f>
        <v/>
      </c>
      <c r="E30" s="65" t="str">
        <f>IF(AND(YEAR(EylPaz1+36)=Yıl,MONTH(EylPaz1+36)=9),EylPaz1+36, "")</f>
        <v/>
      </c>
      <c r="F30" s="65" t="str">
        <f>IF(AND(YEAR(EylPaz1+37)=Yıl,MONTH(EylPaz1+37)=9),EylPaz1+37, "")</f>
        <v/>
      </c>
      <c r="G30" s="65" t="str">
        <f>IF(AND(YEAR(EylPaz1+38)=Yıl,MONTH(EylPaz1+38)=9),EylPaz1+38, "")</f>
        <v/>
      </c>
      <c r="H30" s="65" t="str">
        <f>IF(AND(YEAR(EylPaz1+39)=Yıl,MONTH(EylPaz1+39)=9),EylPaz1+39, "")</f>
        <v/>
      </c>
      <c r="I30" s="66" t="str">
        <f>IF(AND(YEAR(EylPaz1+40)=Yıl,MONTH(EylPaz1+40)=9),EylPaz1+40, "")</f>
        <v/>
      </c>
      <c r="J30" s="67" t="str">
        <f>IF(AND(YEAR(EylPaz1+41)=Yıl,MONTH(EylPaz1+41)=9),EylPaz1+41, "")</f>
        <v/>
      </c>
      <c r="K30" s="53"/>
      <c r="L30" s="64" t="str">
        <f>IF(AND(YEAR(EkiPaz1+35)=Yıl,MONTH(EkiPaz1+35)=10),EkiPaz1+35, "")</f>
        <v/>
      </c>
      <c r="M30" s="65" t="str">
        <f>IF(AND(YEAR(EkiPaz1+36)=Yıl,MONTH(EkiPaz1+36)=10),EkiPaz1+36, "")</f>
        <v/>
      </c>
      <c r="N30" s="65" t="str">
        <f>IF(AND(YEAR(EkiPaz1+37)=Yıl,MONTH(EkiPaz1+37)=10),EkiPaz1+37, "")</f>
        <v/>
      </c>
      <c r="O30" s="65" t="str">
        <f>IF(AND(YEAR(EkiPaz1+38)=Yıl,MONTH(EkiPaz1+38)=10),EkiPaz1+38, "")</f>
        <v/>
      </c>
      <c r="P30" s="65" t="str">
        <f>IF(AND(YEAR(EkiPaz1+39)=Yıl,MONTH(EkiPaz1+39)=10),EkiPaz1+39, "")</f>
        <v/>
      </c>
      <c r="Q30" s="66" t="str">
        <f>IF(AND(YEAR(EkiPaz1+40)=Yıl,MONTH(EkiPaz1+40)=10),EkiPaz1+40, "")</f>
        <v/>
      </c>
      <c r="R30" s="67" t="str">
        <f>IF(AND(YEAR(EkiPaz1+41)=Yıl,MONTH(EkiPaz1+41)=10),EkiPaz1+41, "")</f>
        <v/>
      </c>
      <c r="T30" s="64" t="str">
        <f>IF(AND(YEAR(KasPaz1+35)=Yıl,MONTH(KasPaz1+35)=11),KasPaz1+35, "")</f>
        <v/>
      </c>
      <c r="U30" s="65" t="str">
        <f>IF(AND(YEAR(KasPaz1+36)=Yıl,MONTH(KasPaz1+36)=11),KasPaz1+36, "")</f>
        <v/>
      </c>
      <c r="V30" s="65" t="str">
        <f>IF(AND(YEAR(KasPaz1+37)=Yıl,MONTH(KasPaz1+37)=11),KasPaz1+37, "")</f>
        <v/>
      </c>
      <c r="W30" s="65" t="str">
        <f>IF(AND(YEAR(KasPaz1+38)=Yıl,MONTH(KasPaz1+38)=11),KasPaz1+38, "")</f>
        <v/>
      </c>
      <c r="X30" s="65" t="str">
        <f>IF(AND(YEAR(KasPaz1+39)=Yıl,MONTH(KasPaz1+39)=11),KasPaz1+39, "")</f>
        <v/>
      </c>
      <c r="Y30" s="66" t="str">
        <f>IF(AND(YEAR(KasPaz1+40)=Yıl,MONTH(KasPaz1+40)=11),KasPaz1+40, "")</f>
        <v/>
      </c>
      <c r="Z30" s="67" t="str">
        <f>IF(AND(YEAR(KasPaz1+41)=Yıl,MONTH(KasPaz1+41)=11),KasPaz1+41, "")</f>
        <v/>
      </c>
      <c r="AB30" s="64" t="str">
        <f>IF(AND(YEAR(AraPaz1+35)=Yıl,MONTH(AraPaz1+35)=12),AraPaz1+35, "")</f>
        <v/>
      </c>
      <c r="AC30" s="65" t="str">
        <f>IF(AND(YEAR(AraPaz1+36)=Yıl,MONTH(AraPaz1+36)=12),AraPaz1+36, "")</f>
        <v/>
      </c>
      <c r="AD30" s="65" t="str">
        <f>IF(AND(YEAR(AraPaz1+37)=Yıl,MONTH(AraPaz1+37)=12),AraPaz1+37, "")</f>
        <v/>
      </c>
      <c r="AE30" s="65" t="str">
        <f>IF(AND(YEAR(AraPaz1+38)=Yıl,MONTH(AraPaz1+38)=12),AraPaz1+38, "")</f>
        <v/>
      </c>
      <c r="AF30" s="65" t="str">
        <f>IF(AND(YEAR(AraPaz1+39)=Yıl,MONTH(AraPaz1+39)=12),AraPaz1+39, "")</f>
        <v/>
      </c>
      <c r="AG30" s="66" t="str">
        <f>IF(AND(YEAR(AraPaz1+40)=Yıl,MONTH(AraPaz1+40)=12),AraPaz1+40, "")</f>
        <v/>
      </c>
      <c r="AH30" s="67" t="str">
        <f>IF(AND(YEAR(AraPaz1+41)=Yıl,MONTH(AraPaz1+41)=12),AraPaz1+41, "")</f>
        <v/>
      </c>
    </row>
    <row r="31" spans="1:80" ht="21" customHeight="1" x14ac:dyDescent="0.2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</row>
    <row r="32" spans="1:80" ht="9.75" customHeight="1" x14ac:dyDescent="0.2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</row>
    <row r="33" spans="2:36" ht="9.75" customHeight="1" x14ac:dyDescent="0.2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</row>
    <row r="34" spans="2:36" ht="33.75" customHeight="1" x14ac:dyDescent="0.2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</row>
    <row r="35" spans="2:36" ht="21.75" customHeight="1" x14ac:dyDescent="0.2">
      <c r="Z35" s="48"/>
      <c r="AH35" s="48"/>
    </row>
    <row r="36" spans="2:36" x14ac:dyDescent="0.2">
      <c r="Z36" s="48"/>
      <c r="AH36" s="48"/>
    </row>
    <row r="37" spans="2:36" x14ac:dyDescent="0.2">
      <c r="Z37" s="48"/>
      <c r="AH37" s="48"/>
    </row>
    <row r="38" spans="2:36" x14ac:dyDescent="0.2">
      <c r="Z38" s="48"/>
      <c r="AH38" s="48"/>
    </row>
    <row r="39" spans="2:36" x14ac:dyDescent="0.2">
      <c r="Z39" s="48"/>
      <c r="AH39" s="48"/>
    </row>
    <row r="41" spans="2:36" x14ac:dyDescent="0.2">
      <c r="D41" s="43"/>
      <c r="E41" s="43"/>
      <c r="F41" s="43"/>
      <c r="G41" s="43"/>
      <c r="H41" s="43"/>
      <c r="I41" s="74"/>
      <c r="J41" s="74"/>
      <c r="L41" s="72"/>
      <c r="M41" s="72"/>
      <c r="N41" s="72"/>
      <c r="O41" s="72"/>
      <c r="P41" s="72"/>
      <c r="Q41" s="75"/>
      <c r="R41" s="75"/>
    </row>
    <row r="42" spans="2:36" x14ac:dyDescent="0.2">
      <c r="L42" s="72"/>
      <c r="M42" s="72"/>
      <c r="N42" s="72"/>
      <c r="O42" s="72"/>
      <c r="P42" s="72"/>
      <c r="Q42" s="75"/>
      <c r="R42" s="75"/>
    </row>
    <row r="43" spans="2:36" x14ac:dyDescent="0.2">
      <c r="L43" s="72"/>
      <c r="M43" s="72"/>
      <c r="N43" s="72"/>
      <c r="O43" s="72"/>
      <c r="P43" s="72"/>
      <c r="Q43" s="75"/>
      <c r="R43" s="75"/>
    </row>
    <row r="50" spans="4:34" ht="18.75" x14ac:dyDescent="0.3">
      <c r="D50" s="76"/>
      <c r="E50" s="72"/>
      <c r="F50" s="72"/>
      <c r="G50" s="72"/>
      <c r="H50" s="72"/>
      <c r="I50" s="75"/>
      <c r="J50" s="75"/>
      <c r="T50" s="72"/>
      <c r="U50" s="72"/>
      <c r="V50" s="72"/>
      <c r="W50" s="72"/>
      <c r="X50" s="72"/>
      <c r="Y50" s="75"/>
      <c r="Z50" s="75"/>
      <c r="AB50" s="70"/>
      <c r="AC50" s="70"/>
      <c r="AD50" s="70"/>
      <c r="AE50" s="70"/>
      <c r="AF50" s="70"/>
      <c r="AG50" s="71"/>
      <c r="AH50" s="71"/>
    </row>
    <row r="51" spans="4:34" x14ac:dyDescent="0.2">
      <c r="D51" s="72"/>
      <c r="E51" s="72"/>
      <c r="F51" s="72"/>
      <c r="G51" s="72"/>
      <c r="H51" s="72"/>
      <c r="I51" s="75"/>
      <c r="J51" s="75"/>
      <c r="T51" s="72"/>
      <c r="U51" s="72"/>
      <c r="V51" s="72"/>
      <c r="W51" s="72"/>
      <c r="X51" s="72"/>
      <c r="Y51" s="75"/>
      <c r="Z51" s="75"/>
      <c r="AB51" s="70"/>
      <c r="AC51" s="70"/>
      <c r="AD51" s="70"/>
      <c r="AE51" s="70"/>
      <c r="AF51" s="70"/>
      <c r="AG51" s="71"/>
      <c r="AH51" s="71"/>
    </row>
    <row r="52" spans="4:34" x14ac:dyDescent="0.2">
      <c r="D52" s="72"/>
      <c r="E52" s="72"/>
      <c r="F52" s="72"/>
      <c r="G52" s="72"/>
      <c r="H52" s="72"/>
      <c r="I52" s="75"/>
      <c r="J52" s="75"/>
      <c r="T52" s="72"/>
      <c r="U52" s="72"/>
      <c r="V52" s="72"/>
      <c r="W52" s="72"/>
      <c r="X52" s="72"/>
      <c r="Y52" s="75"/>
      <c r="Z52" s="75"/>
    </row>
  </sheetData>
  <mergeCells count="21">
    <mergeCell ref="B2:B4"/>
    <mergeCell ref="C2:C4"/>
    <mergeCell ref="D2:D4"/>
    <mergeCell ref="E2:E4"/>
    <mergeCell ref="F2:F4"/>
    <mergeCell ref="Z2:AI4"/>
    <mergeCell ref="AJ2:AJ4"/>
    <mergeCell ref="D5:J5"/>
    <mergeCell ref="L5:R5"/>
    <mergeCell ref="T5:Z5"/>
    <mergeCell ref="AB5:AH5"/>
    <mergeCell ref="G2:Y4"/>
    <mergeCell ref="B31:AJ34"/>
    <mergeCell ref="D14:J14"/>
    <mergeCell ref="L14:R14"/>
    <mergeCell ref="T14:Z14"/>
    <mergeCell ref="AB14:AH14"/>
    <mergeCell ref="D23:J23"/>
    <mergeCell ref="L23:R23"/>
    <mergeCell ref="T23:Z23"/>
    <mergeCell ref="AB23:AH23"/>
  </mergeCells>
  <conditionalFormatting sqref="AB7:AH12">
    <cfRule type="expression" dxfId="3" priority="4">
      <formula>IF(DAY(AB7)=23,TRUE,FALSE)</formula>
    </cfRule>
  </conditionalFormatting>
  <conditionalFormatting sqref="D7:J12">
    <cfRule type="expression" dxfId="2" priority="3">
      <formula>IF(DAY(D7)=1,TRUE,FALSE)</formula>
    </cfRule>
  </conditionalFormatting>
  <conditionalFormatting sqref="D16:J21">
    <cfRule type="expression" dxfId="1" priority="2">
      <formula>IF(DAY(D16)=19,TRUE,FALSE)</formula>
    </cfRule>
  </conditionalFormatting>
  <conditionalFormatting sqref="L25:R30">
    <cfRule type="expression" dxfId="0" priority="1">
      <formula>IF(DAY(L25)=29,TRUE,FALSE)</formula>
    </cfRule>
  </conditionalFormatting>
  <dataValidations count="2">
    <dataValidation type="whole" allowBlank="1" showInputMessage="1" showErrorMessage="1" sqref="Z2:AI4">
      <formula1>1900</formula1>
      <formula2>9999</formula2>
    </dataValidation>
    <dataValidation type="whole" allowBlank="1" showInputMessage="1" showErrorMessage="1" sqref="AM5 AV26 AP3">
      <formula1>"1900"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ğiştirici 21">
              <controlPr defaultSize="0" print="0" autoPict="0">
                <anchor>
                  <from>
                    <xdr:col>37</xdr:col>
                    <xdr:colOff>523875</xdr:colOff>
                    <xdr:row>1</xdr:row>
                    <xdr:rowOff>219075</xdr:rowOff>
                  </from>
                  <to>
                    <xdr:col>38</xdr:col>
                    <xdr:colOff>95250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yıllık (2)</vt:lpstr>
      <vt:lpstr>akademik</vt:lpstr>
      <vt:lpstr>Takvim</vt:lpstr>
      <vt:lpstr>akademik!Yazdırma_Alanı</vt:lpstr>
      <vt:lpstr>Takvim!Yazdırma_Alanı</vt:lpstr>
      <vt:lpstr>'yıllık (2)'!Yazdırma_Alanı</vt:lpstr>
      <vt:lpstr>Takvim!Yıl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Özgür Tunçel</dc:creator>
  <cp:lastModifiedBy>AYHAN</cp:lastModifiedBy>
  <cp:lastPrinted>2019-07-18T09:41:54Z</cp:lastPrinted>
  <dcterms:created xsi:type="dcterms:W3CDTF">2015-10-27T11:45:36Z</dcterms:created>
  <dcterms:modified xsi:type="dcterms:W3CDTF">2021-06-21T12:13:03Z</dcterms:modified>
</cp:coreProperties>
</file>